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C:\Users\fucik\Desktop\VAK\Radenín\kalkulace\"/>
    </mc:Choice>
  </mc:AlternateContent>
  <xr:revisionPtr revIDLastSave="0" documentId="13_ncr:1_{87418B3E-24A8-47D7-9686-B7553F6D5E7A}" xr6:coauthVersionLast="47" xr6:coauthVersionMax="47" xr10:uidLastSave="{00000000-0000-0000-0000-000000000000}"/>
  <bookViews>
    <workbookView xWindow="1260" yWindow="2250" windowWidth="13140" windowHeight="11235"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47" i="21"/>
  <c r="E44" i="21"/>
  <c r="F32" i="21"/>
  <c r="F31" i="21"/>
  <c r="E31" i="21"/>
  <c r="D15" i="21"/>
  <c r="F201" i="1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E139" i="1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E186" i="20"/>
  <c r="E192" i="20" s="1"/>
  <c r="F184" i="20"/>
  <c r="F186" i="20" s="1"/>
  <c r="F192" i="20" s="1"/>
  <c r="E184" i="20"/>
  <c r="F171" i="20"/>
  <c r="E171" i="20"/>
  <c r="F168" i="20"/>
  <c r="E168" i="20"/>
  <c r="F163" i="20"/>
  <c r="E163" i="20"/>
  <c r="F159" i="20"/>
  <c r="E159" i="20"/>
  <c r="F156" i="20"/>
  <c r="F164" i="20" s="1"/>
  <c r="F170" i="20" s="1"/>
  <c r="E156" i="20"/>
  <c r="E164" i="20" s="1"/>
  <c r="E170" i="20" s="1"/>
  <c r="F141" i="20"/>
  <c r="F138" i="20"/>
  <c r="E138" i="20"/>
  <c r="E141" i="20" s="1"/>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2" i="17"/>
  <c r="F188" i="17" s="1"/>
  <c r="E182" i="17"/>
  <c r="F180" i="17"/>
  <c r="E180" i="17"/>
  <c r="F167" i="17"/>
  <c r="E167" i="17"/>
  <c r="F164" i="17"/>
  <c r="E164" i="17"/>
  <c r="F159" i="17"/>
  <c r="E159" i="17"/>
  <c r="F155" i="17"/>
  <c r="E155" i="17"/>
  <c r="F152" i="17"/>
  <c r="F160" i="17" s="1"/>
  <c r="E152" i="17"/>
  <c r="E160" i="17" s="1"/>
  <c r="F134" i="17"/>
  <c r="E134" i="17"/>
  <c r="B126" i="17"/>
  <c r="F120" i="17"/>
  <c r="E120" i="17"/>
  <c r="F118" i="17"/>
  <c r="F189" i="17" s="1"/>
  <c r="E118" i="17"/>
  <c r="E189" i="17" s="1"/>
  <c r="F103" i="17"/>
  <c r="F38" i="21" s="1"/>
  <c r="E103" i="17"/>
  <c r="E42"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34" i="21" l="1"/>
  <c r="F41" i="21"/>
  <c r="F35" i="21"/>
  <c r="F42" i="21"/>
  <c r="F40" i="21"/>
  <c r="F43" i="21"/>
  <c r="F137" i="17"/>
  <c r="F55" i="21"/>
  <c r="F33" i="21"/>
  <c r="F166" i="17"/>
  <c r="E33" i="21"/>
  <c r="E36" i="21"/>
  <c r="E41" i="21"/>
  <c r="E137" i="17"/>
  <c r="E166" i="17"/>
  <c r="E35" i="21"/>
  <c r="E188" i="17"/>
  <c r="E43" i="21"/>
  <c r="F68" i="17"/>
  <c r="E68" i="17"/>
  <c r="E97" i="17" s="1"/>
  <c r="F97" i="11"/>
  <c r="F106" i="11"/>
  <c r="F93" i="11"/>
  <c r="E106" i="11"/>
  <c r="E97" i="11"/>
  <c r="E93" i="11"/>
  <c r="E137" i="11"/>
  <c r="E138" i="11" s="1"/>
  <c r="F110" i="20"/>
  <c r="F97" i="20"/>
  <c r="F101" i="20"/>
  <c r="F137" i="11"/>
  <c r="F138" i="11" s="1"/>
  <c r="E101" i="20"/>
  <c r="E110" i="20"/>
  <c r="E97" i="20"/>
  <c r="F98" i="11"/>
  <c r="F36" i="21"/>
  <c r="F44" i="21"/>
  <c r="E37" i="21"/>
  <c r="E45" i="21"/>
  <c r="F37" i="21"/>
  <c r="F45" i="21"/>
  <c r="E30" i="21"/>
  <c r="E38" i="21"/>
  <c r="F30" i="21"/>
  <c r="E32" i="21"/>
  <c r="E40" i="21"/>
  <c r="E55" i="21"/>
  <c r="F139" i="11"/>
  <c r="E34" i="21"/>
  <c r="F97" i="17" l="1"/>
  <c r="F99" i="17" s="1"/>
  <c r="F106" i="17"/>
  <c r="F93" i="17"/>
  <c r="F39" i="21" s="1"/>
  <c r="E106" i="17"/>
  <c r="E93" i="17"/>
  <c r="E39" i="21" s="1"/>
  <c r="E98" i="11"/>
  <c r="E107" i="11"/>
  <c r="F101" i="11"/>
  <c r="F99" i="11"/>
  <c r="E103" i="20"/>
  <c r="E106" i="20"/>
  <c r="E99" i="17"/>
  <c r="E102" i="17"/>
  <c r="F107" i="11"/>
  <c r="F102" i="11"/>
  <c r="F103" i="20"/>
  <c r="F106" i="20"/>
  <c r="F102" i="17" l="1"/>
  <c r="F104" i="17" s="1"/>
  <c r="F46" i="21" s="1"/>
  <c r="E99" i="11"/>
  <c r="E101" i="11"/>
  <c r="F108" i="20"/>
  <c r="F137" i="20"/>
  <c r="F139" i="20" s="1"/>
  <c r="F140" i="20" s="1"/>
  <c r="E104" i="17"/>
  <c r="E133" i="17"/>
  <c r="E135" i="17" s="1"/>
  <c r="E136" i="17" s="1"/>
  <c r="E137" i="20"/>
  <c r="E139" i="20" s="1"/>
  <c r="E140" i="20" s="1"/>
  <c r="E108" i="20"/>
  <c r="E102" i="11"/>
  <c r="F133" i="17" l="1"/>
  <c r="F135" i="17" s="1"/>
  <c r="F136" i="17" s="1"/>
  <c r="E47" i="21"/>
  <c r="E46" i="21"/>
</calcChain>
</file>

<file path=xl/sharedStrings.xml><?xml version="1.0" encoding="utf-8"?>
<sst xmlns="http://schemas.openxmlformats.org/spreadsheetml/2006/main" count="2269" uniqueCount="682">
  <si>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</si>
  <si>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</si>
  <si>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</si>
  <si>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</si>
  <si>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</si>
  <si>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</si>
  <si>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</si>
  <si>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</si>
  <si>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</si>
  <si>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</si>
  <si>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</si>
  <si>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</si>
  <si>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</si>
  <si>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</si>
  <si>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</si>
  <si>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</si>
  <si>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</si>
  <si>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</si>
  <si>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</si>
  <si>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</si>
  <si>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</si>
  <si>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</si>
  <si>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</si>
  <si>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</si>
  <si>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</si>
  <si>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</si>
  <si>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</si>
  <si>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</si>
  <si>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</si>
  <si>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</si>
  <si>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</si>
  <si>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</si>
  <si>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</si>
  <si>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</si>
  <si>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</si>
  <si>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</si>
  <si>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</si>
  <si>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</si>
  <si>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</si>
  <si>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</si>
  <si>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</si>
  <si>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</si>
  <si>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</si>
  <si>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</si>
  <si>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</si>
  <si>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</si>
  <si>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</si>
  <si>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</si>
  <si>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</si>
  <si>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</si>
  <si>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</si>
  <si>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</si>
  <si>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</si>
  <si>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</si>
  <si>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</si>
  <si>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</si>
  <si>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</si>
  <si>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</si>
  <si>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</si>
  <si>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</si>
  <si>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</si>
  <si>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</si>
  <si>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</si>
  <si>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</si>
  <si>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</si>
  <si>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</si>
  <si>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</si>
  <si>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</si>
  <si>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</si>
  <si>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</si>
  <si>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</si>
  <si>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</si>
  <si>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</si>
  <si>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</si>
  <si>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</si>
  <si>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</si>
  <si>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</si>
  <si>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</si>
  <si>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</si>
  <si>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</si>
  <si>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</si>
  <si>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</si>
  <si>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</si>
  <si>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</si>
  <si>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</si>
  <si>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</si>
  <si>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</si>
  <si>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</si>
  <si>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</si>
  <si>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</si>
  <si>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</si>
  <si>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</si>
  <si>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</si>
  <si>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</si>
  <si>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</si>
  <si>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</si>
  <si>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</si>
  <si>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</si>
  <si>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</si>
  <si>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</si>
  <si>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</si>
  <si>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</si>
  <si>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</si>
  <si>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</si>
  <si>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</si>
  <si>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</si>
  <si>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</si>
  <si>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</si>
  <si>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</si>
  <si>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</si>
  <si>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</si>
  <si>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</si>
  <si>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</si>
  <si>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</si>
  <si>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</si>
  <si>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</si>
  <si>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</si>
  <si>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</si>
  <si>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</si>
  <si>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</si>
  <si>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</si>
  <si>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</si>
  <si>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</si>
  <si>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</si>
  <si>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</si>
  <si>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</si>
  <si>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</si>
  <si>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</si>
  <si>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</si>
  <si>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</si>
  <si>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</si>
  <si>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</si>
  <si>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</si>
  <si>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</si>
  <si>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</si>
  <si>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</si>
  <si>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</si>
  <si>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</si>
  <si>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</si>
  <si>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</si>
  <si>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</si>
  <si>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</si>
  <si>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</si>
  <si>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</si>
  <si>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</si>
  <si>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</si>
  <si>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</si>
  <si>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</si>
  <si>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</si>
  <si>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</si>
  <si>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</si>
  <si>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</si>
  <si>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</si>
  <si>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</si>
  <si>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</si>
  <si>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</si>
  <si>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</si>
  <si>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</si>
  <si>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</si>
  <si>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</si>
  <si>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</si>
  <si>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</si>
  <si>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</si>
  <si>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</si>
  <si>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</si>
  <si>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</si>
  <si>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</si>
  <si>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</si>
  <si>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</si>
  <si>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</si>
  <si>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</si>
  <si>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</si>
  <si>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</si>
  <si>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</si>
  <si>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</si>
  <si>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</si>
  <si>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</si>
  <si>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</si>
  <si>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</si>
  <si>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</si>
  <si>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</si>
  <si>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</si>
  <si>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</si>
  <si>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</si>
  <si>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</si>
  <si>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</si>
  <si>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</si>
  <si>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</si>
  <si>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</si>
  <si>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</si>
  <si>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</si>
  <si>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</si>
  <si>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</si>
  <si>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</si>
  <si>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</si>
  <si>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</si>
  <si>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</si>
  <si>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</si>
  <si>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</si>
  <si>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</si>
  <si>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</si>
  <si>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</si>
  <si>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</si>
  <si>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</si>
  <si>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</si>
  <si>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</si>
  <si>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</si>
  <si>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</si>
  <si>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</si>
  <si>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</si>
  <si>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</si>
  <si>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</si>
  <si>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</si>
  <si>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</si>
  <si>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</si>
  <si>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</si>
  <si>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</si>
  <si>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</si>
  <si>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</si>
  <si>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</si>
  <si>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</si>
  <si>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</si>
  <si>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</si>
  <si>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</si>
  <si>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</si>
  <si>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</si>
  <si>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</si>
  <si>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</si>
  <si>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</si>
  <si>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</si>
  <si>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</si>
  <si>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</si>
  <si>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</si>
  <si>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</si>
  <si>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</si>
  <si>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</si>
  <si>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</si>
  <si>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</si>
  <si>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</si>
  <si>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</si>
  <si>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</si>
  <si>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</si>
  <si>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</si>
  <si>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</si>
  <si>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</si>
  <si>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</si>
  <si>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</si>
  <si>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</si>
  <si>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</si>
  <si>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</si>
  <si>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</si>
  <si>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</si>
  <si>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</si>
  <si>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</si>
  <si>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</si>
  <si>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</si>
  <si>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</si>
  <si>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</si>
  <si>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</si>
  <si>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</si>
  <si>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</si>
  <si>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</si>
  <si>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</si>
  <si>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</si>
  <si>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</si>
  <si>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</si>
  <si>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</si>
  <si>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</si>
  <si>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</si>
  <si>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</si>
  <si>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</si>
  <si>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</si>
  <si>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</si>
  <si>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</si>
  <si>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</si>
  <si>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</si>
  <si>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</si>
  <si>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</si>
  <si>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</si>
  <si>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</si>
  <si>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</si>
  <si>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</si>
  <si>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</si>
  <si>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</si>
  <si>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</si>
  <si>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</si>
  <si>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</si>
  <si>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</si>
  <si>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</si>
  <si>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</si>
  <si>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</si>
  <si>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</si>
  <si>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</si>
  <si>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</si>
  <si>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</si>
  <si>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</si>
  <si>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</si>
  <si>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</si>
  <si>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</si>
  <si>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</si>
  <si>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</si>
  <si>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</si>
  <si>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</si>
  <si>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</si>
  <si>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</si>
  <si>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</si>
  <si>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</si>
  <si>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</si>
  <si>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</si>
  <si>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</si>
  <si>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</si>
  <si>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</si>
  <si>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</si>
  <si>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</si>
  <si>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</si>
  <si>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</si>
  <si>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</si>
  <si>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</si>
  <si>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</si>
  <si>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</si>
  <si>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</si>
  <si>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</si>
  <si>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</si>
  <si>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</si>
  <si>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</si>
  <si>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</si>
  <si>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</si>
  <si>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</si>
  <si>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</si>
  <si>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</si>
  <si>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</si>
  <si>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</si>
  <si>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</si>
  <si>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</si>
  <si>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</si>
  <si>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</si>
  <si>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</si>
  <si>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</si>
  <si>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</si>
  <si>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</si>
  <si>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</si>
  <si>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</si>
  <si>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</si>
  <si>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</si>
  <si>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</si>
  <si>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</si>
  <si>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</si>
  <si>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</si>
  <si>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</si>
  <si>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</si>
  <si>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</si>
  <si>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</si>
  <si>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</si>
  <si>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</si>
  <si>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</si>
  <si>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</si>
  <si>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</si>
  <si>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</si>
  <si>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</si>
  <si>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</si>
  <si>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</si>
  <si>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</si>
  <si>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</si>
  <si>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</si>
  <si>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</si>
  <si>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</si>
  <si>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</si>
  <si>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</si>
  <si>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</si>
  <si>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</si>
  <si>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</si>
  <si>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</si>
  <si>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</si>
  <si>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</si>
  <si>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</si>
  <si>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</si>
  <si>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</si>
  <si>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</si>
  <si>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</si>
  <si>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</si>
  <si>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</si>
  <si>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</si>
  <si>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</si>
  <si>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</si>
  <si>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</si>
  <si>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</si>
  <si>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</si>
  <si>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</si>
  <si>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</si>
  <si>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</si>
  <si>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</si>
  <si>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</si>
  <si>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</si>
  <si>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</si>
  <si>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</si>
  <si>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</si>
  <si>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</si>
  <si>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</si>
  <si>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</si>
  <si>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</si>
  <si>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</si>
  <si>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</si>
  <si>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</si>
  <si>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</si>
  <si>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</si>
  <si>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</si>
  <si>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</si>
  <si>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</si>
  <si>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</si>
  <si>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</si>
  <si>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</si>
  <si>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</si>
  <si>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</si>
  <si>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</si>
  <si>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</si>
  <si>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</si>
  <si>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</si>
  <si>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</si>
  <si>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</si>
  <si>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</si>
  <si>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</si>
  <si>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</si>
  <si>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</si>
  <si>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</si>
  <si>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</si>
  <si>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</si>
  <si>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</si>
  <si>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</si>
  <si>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</si>
  <si>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</si>
  <si>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</si>
  <si>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</si>
  <si>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</si>
  <si>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</si>
  <si>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</si>
  <si>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</si>
  <si>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</si>
  <si>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</si>
  <si>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</si>
  <si>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</si>
  <si>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</si>
  <si>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</si>
  <si>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</si>
  <si>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</si>
  <si>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</si>
  <si>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</si>
  <si>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</si>
  <si>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</si>
  <si>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</si>
  <si>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</si>
  <si>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</si>
  <si>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</si>
  <si>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</si>
  <si>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</si>
  <si>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</si>
  <si>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</si>
  <si>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</si>
  <si>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</si>
  <si>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</si>
  <si>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</si>
  <si>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</si>
  <si>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</si>
  <si>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</si>
  <si>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</si>
  <si>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</si>
  <si>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</si>
  <si>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</si>
  <si>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</si>
  <si>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</si>
  <si>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</si>
  <si>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</si>
  <si>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</si>
  <si>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</si>
  <si>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</si>
  <si>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</si>
  <si>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</si>
  <si>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</si>
  <si>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</si>
  <si>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</si>
  <si>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</si>
  <si>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</si>
  <si>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</si>
  <si>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</si>
  <si>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</si>
  <si>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</si>
  <si>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</si>
  <si>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</si>
  <si>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</si>
  <si>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</si>
  <si>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</si>
  <si>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</si>
  <si>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</si>
  <si>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</si>
  <si>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</si>
  <si>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</si>
  <si>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</si>
  <si>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</si>
  <si>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</si>
  <si>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</si>
  <si>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</si>
  <si>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</si>
  <si>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</si>
  <si>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</si>
  <si>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</si>
  <si>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</si>
  <si>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</si>
  <si>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</si>
  <si>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</si>
  <si>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</si>
  <si>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</si>
  <si>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</si>
  <si>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</si>
  <si>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</si>
  <si>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</si>
  <si>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</si>
  <si>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</si>
  <si>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</si>
  <si>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</si>
  <si>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</si>
  <si>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</si>
  <si>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</si>
  <si>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</si>
  <si>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</si>
  <si>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</si>
  <si>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</si>
  <si>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</si>
  <si>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</si>
  <si>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</si>
  <si>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</si>
  <si>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</si>
  <si>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</si>
  <si>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</si>
  <si>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</si>
  <si>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</si>
  <si>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</si>
  <si>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</si>
  <si>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</si>
  <si>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</si>
  <si>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</si>
  <si>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</si>
  <si>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</si>
  <si>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</si>
  <si>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</si>
  <si>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</si>
  <si>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</si>
  <si>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</si>
  <si>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</si>
  <si>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</si>
  <si>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</si>
  <si>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</si>
  <si>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</si>
  <si>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</si>
  <si>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</si>
  <si>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</si>
  <si>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</si>
  <si>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</si>
  <si>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</si>
  <si>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</si>
  <si>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</si>
  <si>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</si>
  <si>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</si>
  <si>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</si>
  <si>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</si>
  <si>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</si>
  <si>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</si>
  <si>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</si>
  <si>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</si>
  <si>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</si>
  <si>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</si>
  <si>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</si>
  <si>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</si>
  <si>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</si>
  <si>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</si>
  <si>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</si>
  <si>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</si>
  <si>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</si>
  <si>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</si>
  <si>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</si>
  <si>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</si>
  <si>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</si>
  <si>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</si>
  <si>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</si>
  <si>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</si>
  <si>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</si>
  <si>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</si>
  <si>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</si>
  <si>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</si>
  <si>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</si>
  <si>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</si>
  <si>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</si>
  <si>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</si>
  <si>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</si>
  <si>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</si>
  <si>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</si>
  <si>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</si>
  <si>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</si>
  <si>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</si>
  <si>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</si>
  <si>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</si>
  <si>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</si>
  <si>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</si>
  <si>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</si>
  <si>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</si>
  <si>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</si>
  <si>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</si>
  <si>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</si>
  <si>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</si>
  <si>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</si>
  <si>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</si>
  <si>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</si>
  <si>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</si>
  <si>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</si>
  <si>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</si>
  <si>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</si>
  <si>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</si>
  <si>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</si>
  <si>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</si>
  <si>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</si>
  <si>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</si>
  <si>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</si>
  <si>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</si>
  <si>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</si>
  <si>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</si>
  <si>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</si>
  <si>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</si>
  <si>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</si>
  <si>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</si>
  <si>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</si>
  <si>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</si>
  <si>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</si>
  <si>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</si>
  <si>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</si>
  <si>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</si>
  <si>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</si>
  <si>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</si>
  <si>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</si>
  <si>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</si>
  <si>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</si>
  <si>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</si>
  <si>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</si>
  <si>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</si>
  <si>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</si>
  <si>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</si>
  <si>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</si>
  <si>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</si>
  <si>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</si>
  <si>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</si>
  <si>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</si>
  <si>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</si>
  <si>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</si>
  <si>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</si>
  <si>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</si>
  <si>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</si>
  <si>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</si>
  <si>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</si>
  <si>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</si>
  <si>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</si>
  <si>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</si>
  <si>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</si>
  <si>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</si>
  <si>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</si>
  <si>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</si>
  <si>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</si>
  <si>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</si>
  <si>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</si>
  <si>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OBEC RADENÍN</t>
  </si>
  <si>
    <t>3112-648256-00252735-1/1-00252735</t>
  </si>
  <si>
    <t>3112-648256-00252735-2/1-00252735</t>
  </si>
  <si>
    <t>3112-648264-00252735-1/1-00252735</t>
  </si>
  <si>
    <t>3112-648264-00252735-1/2-00252735</t>
  </si>
  <si>
    <t>3112-648264-00252735-2/1-00252735</t>
  </si>
  <si>
    <t>3112-737518-00252735-1/1-00252735</t>
  </si>
  <si>
    <t>3112-737518-00252735-1/2-00252735</t>
  </si>
  <si>
    <t>3112-737518-00252735-2/1-00252735</t>
  </si>
  <si>
    <t>3112-737518-00252735-3/1-00252735</t>
  </si>
  <si>
    <t>3112-648264-00252735-3/1-00252735</t>
  </si>
  <si>
    <t>3112-737518-00252735-4/1-00252735</t>
  </si>
  <si>
    <t>Formulář A</t>
  </si>
  <si>
    <t>RADENÍN</t>
  </si>
  <si>
    <t>ing.Václav Fučík</t>
  </si>
  <si>
    <t>fucik.vak@centrum.cz</t>
  </si>
  <si>
    <t>3112-648264-00252735-4/1-00252735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</si>
</sst>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abSelected="1" topLeftCell="O25" zoomScale="90" zoomScaleNormal="90" workbookViewId="0">
      <selection activeCell="T38" sqref="T38"/>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636</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633</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639</v>
      </c>
      <c r="C9" s="730"/>
      <c r="D9" s="730"/>
      <c r="E9" s="730"/>
      <c r="F9" s="730"/>
      <c r="G9" s="730"/>
      <c r="H9" s="730"/>
      <c r="I9" s="730"/>
      <c r="J9" s="730"/>
      <c r="K9" s="730"/>
      <c r="L9" s="730"/>
      <c r="M9" s="730"/>
      <c r="N9" s="730"/>
      <c r="O9" s="730"/>
      <c r="P9" s="730"/>
      <c r="Q9" s="730"/>
      <c r="R9" s="730"/>
      <c r="S9" s="730"/>
      <c r="T9" s="1"/>
    </row>
    <row r="10" spans="1:20" ht="15.75" customHeight="1">
      <c r="A10" s="468"/>
      <c r="B10" s="732" t="s">
        <v>626</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627</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634</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664</v>
      </c>
      <c r="J21" s="477"/>
      <c r="L21" s="463"/>
      <c r="M21" s="490" t="s">
        <v>465</v>
      </c>
      <c r="N21" s="424" t="s">
        <v>426</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252735</v>
      </c>
      <c r="G25" s="401"/>
      <c r="H25" s="401"/>
      <c r="I25" s="401"/>
      <c r="J25" s="486"/>
      <c r="K25" s="486"/>
      <c r="L25" s="402"/>
      <c r="M25" s="399" t="s">
        <v>499</v>
      </c>
      <c r="N25" s="394" t="s">
        <v>665</v>
      </c>
      <c r="O25" s="400"/>
      <c r="P25" s="389">
        <v>252735</v>
      </c>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252735</v>
      </c>
      <c r="G28" s="401"/>
      <c r="H28" s="401"/>
      <c r="I28" s="401"/>
      <c r="J28" s="486"/>
      <c r="K28" s="486"/>
      <c r="L28" s="398"/>
      <c r="M28" s="405" t="s">
        <v>440</v>
      </c>
      <c r="N28" s="394" t="s">
        <v>665</v>
      </c>
      <c r="O28" s="400"/>
      <c r="P28" s="389">
        <v>252735</v>
      </c>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665</v>
      </c>
      <c r="E31" s="406"/>
      <c r="F31" s="390">
        <v>252735</v>
      </c>
      <c r="G31" s="401"/>
      <c r="H31" s="405" t="s">
        <v>442</v>
      </c>
      <c r="I31" s="488" t="s">
        <v>666</v>
      </c>
      <c r="J31" s="486"/>
      <c r="K31" s="486"/>
      <c r="L31" s="398"/>
      <c r="M31" s="405" t="s">
        <v>441</v>
      </c>
      <c r="N31" s="391" t="s">
        <v>665</v>
      </c>
      <c r="O31" s="406"/>
      <c r="P31" s="390">
        <v>252735</v>
      </c>
      <c r="Q31" s="401"/>
      <c r="R31" s="405" t="s">
        <v>442</v>
      </c>
      <c r="S31" s="488" t="s">
        <v>674</v>
      </c>
      <c r="T31" s="486"/>
    </row>
    <row r="32" spans="1:20" ht="16.5">
      <c r="A32" s="468"/>
      <c r="B32" s="403"/>
      <c r="D32" s="392"/>
      <c r="E32" s="388"/>
      <c r="F32" s="390"/>
      <c r="I32" s="393" t="s">
        <v>666</v>
      </c>
      <c r="J32" s="477"/>
      <c r="K32" s="477"/>
      <c r="L32" s="403"/>
      <c r="M32" s="404"/>
      <c r="N32" s="392"/>
      <c r="O32" s="388"/>
      <c r="P32" s="390"/>
      <c r="Q32" s="404"/>
      <c r="R32" s="404"/>
      <c r="S32" s="393" t="s">
        <v>675</v>
      </c>
      <c r="T32" s="477"/>
    </row>
    <row r="33" spans="1:20" ht="16.5">
      <c r="A33" s="468"/>
      <c r="B33" s="403"/>
      <c r="D33" s="392"/>
      <c r="E33" s="388"/>
      <c r="F33" s="390"/>
      <c r="I33" s="393" t="s">
        <v>667</v>
      </c>
      <c r="J33" s="477"/>
      <c r="K33" s="477"/>
      <c r="L33" s="403"/>
      <c r="M33" s="404"/>
      <c r="N33" s="392"/>
      <c r="O33" s="388"/>
      <c r="P33" s="390"/>
      <c r="Q33" s="404"/>
      <c r="R33" s="404"/>
      <c r="S33" s="393" t="s">
        <v>676</v>
      </c>
      <c r="T33" s="477"/>
    </row>
    <row r="34" spans="1:20" ht="16.5">
      <c r="A34" s="468"/>
      <c r="B34" s="403"/>
      <c r="D34" s="392"/>
      <c r="E34" s="388"/>
      <c r="F34" s="390"/>
      <c r="I34" s="393" t="s">
        <v>668</v>
      </c>
      <c r="J34" s="477"/>
      <c r="K34" s="477"/>
      <c r="L34" s="403"/>
      <c r="M34" s="404"/>
      <c r="N34" s="392"/>
      <c r="O34" s="388"/>
      <c r="P34" s="390"/>
      <c r="Q34" s="404"/>
      <c r="R34" s="404"/>
      <c r="S34" s="393" t="s">
        <v>681</v>
      </c>
      <c r="T34" s="477"/>
    </row>
    <row r="35" spans="1:20" ht="16.5">
      <c r="A35" s="468"/>
      <c r="B35" s="403"/>
      <c r="D35" s="392"/>
      <c r="E35" s="388"/>
      <c r="F35" s="390"/>
      <c r="I35" s="393" t="s">
        <v>669</v>
      </c>
      <c r="J35" s="477"/>
      <c r="K35" s="477"/>
      <c r="L35" s="403"/>
      <c r="M35" s="404"/>
      <c r="N35" s="392"/>
      <c r="O35" s="388"/>
      <c r="P35" s="390"/>
      <c r="Q35" s="404"/>
      <c r="R35" s="404"/>
      <c r="S35" s="393"/>
      <c r="T35" s="477"/>
    </row>
    <row r="36" spans="1:20" ht="16.5">
      <c r="A36" s="468"/>
      <c r="B36" s="403"/>
      <c r="D36" s="393"/>
      <c r="F36" s="390"/>
      <c r="I36" s="393" t="s">
        <v>670</v>
      </c>
      <c r="J36" s="477"/>
      <c r="K36" s="477"/>
      <c r="L36" s="403"/>
      <c r="M36" s="404"/>
      <c r="N36" s="393"/>
      <c r="O36" s="404"/>
      <c r="P36" s="390"/>
      <c r="Q36" s="404"/>
      <c r="R36" s="404"/>
      <c r="S36" s="393"/>
      <c r="T36" s="477"/>
    </row>
    <row r="37" spans="1:20" ht="16.5">
      <c r="A37" s="468"/>
      <c r="B37" s="403"/>
      <c r="D37" s="393"/>
      <c r="F37" s="390"/>
      <c r="I37" s="393" t="s">
        <v>671</v>
      </c>
      <c r="J37" s="477"/>
      <c r="K37" s="477"/>
      <c r="L37" s="403"/>
      <c r="M37" s="404"/>
      <c r="N37" s="393"/>
      <c r="O37" s="404"/>
      <c r="P37" s="390"/>
      <c r="Q37" s="404"/>
      <c r="R37" s="404"/>
      <c r="S37" s="393"/>
      <c r="T37" s="477"/>
    </row>
    <row r="38" spans="1:20" ht="16.5">
      <c r="B38" s="403"/>
      <c r="D38" s="393"/>
      <c r="F38" s="390"/>
      <c r="I38" s="393" t="s">
        <v>672</v>
      </c>
      <c r="J38" s="477"/>
      <c r="K38" s="477"/>
      <c r="L38" s="403"/>
      <c r="M38" s="404"/>
      <c r="N38" s="393"/>
      <c r="O38" s="404"/>
      <c r="P38" s="390"/>
      <c r="Q38" s="404"/>
      <c r="R38" s="404"/>
      <c r="S38" s="393"/>
      <c r="T38" s="477"/>
    </row>
    <row r="39" spans="1:20" ht="16.5">
      <c r="B39" s="403"/>
      <c r="D39" s="393"/>
      <c r="F39" s="390"/>
      <c r="I39" s="393" t="s">
        <v>673</v>
      </c>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opLeftCell="A21" workbookViewId="0">
      <selection activeCell="D194" sqref="D194:F194"/>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646</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640</v>
      </c>
      <c r="C18" s="766"/>
      <c r="D18" s="766"/>
      <c r="E18" s="766"/>
      <c r="F18" s="767"/>
      <c r="G18" s="97"/>
    </row>
    <row r="19" spans="1:7" ht="16.350000000000001" customHeight="1" thickBot="1">
      <c r="A19" s="6"/>
      <c r="B19" s="553"/>
      <c r="C19" s="555" t="s">
        <v>488</v>
      </c>
      <c r="D19" s="755" t="s">
        <v>678</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677</v>
      </c>
      <c r="E29" s="744"/>
      <c r="F29" s="745"/>
      <c r="G29" s="100" t="s">
        <v>369</v>
      </c>
    </row>
    <row r="30" spans="1:7" ht="18" customHeight="1" thickBot="1">
      <c r="A30" s="6"/>
      <c r="B30" s="315" t="s">
        <v>7</v>
      </c>
      <c r="C30" s="9" t="s">
        <v>8</v>
      </c>
      <c r="D30" s="785"/>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0.55400000000000005</v>
      </c>
      <c r="F34" s="542">
        <v>0.45</v>
      </c>
      <c r="G34" s="100" t="s">
        <v>369</v>
      </c>
    </row>
    <row r="35" spans="1:8" ht="24" customHeight="1">
      <c r="A35" s="6"/>
      <c r="B35" s="315" t="s">
        <v>15</v>
      </c>
      <c r="C35" s="768" t="s">
        <v>16</v>
      </c>
      <c r="D35" s="768"/>
      <c r="E35" s="440">
        <v>6.6000000000000003E-2</v>
      </c>
      <c r="F35" s="382">
        <v>0.16600000000000001</v>
      </c>
      <c r="G35" s="100" t="s">
        <v>369</v>
      </c>
    </row>
    <row r="36" spans="1:8" ht="24" customHeight="1" thickBot="1">
      <c r="A36" s="6"/>
      <c r="B36" s="315" t="s">
        <v>17</v>
      </c>
      <c r="C36" s="768" t="s">
        <v>656</v>
      </c>
      <c r="D36" s="768"/>
      <c r="E36" s="543">
        <v>49.065719000000001</v>
      </c>
      <c r="F36" s="544">
        <v>52.006365000000002</v>
      </c>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0.19750000000000001</v>
      </c>
      <c r="F43" s="23">
        <f>+F44+F45+F46+F47</f>
        <v>2.7E-2</v>
      </c>
      <c r="G43" s="100" t="s">
        <v>369</v>
      </c>
    </row>
    <row r="44" spans="1:8" ht="17.100000000000001" customHeight="1">
      <c r="A44" s="6"/>
      <c r="B44" s="30" t="s">
        <v>178</v>
      </c>
      <c r="C44" s="31" t="s">
        <v>26</v>
      </c>
      <c r="D44" s="319" t="s">
        <v>25</v>
      </c>
      <c r="E44" s="366">
        <v>7.4999999999999997E-2</v>
      </c>
      <c r="F44" s="367">
        <v>0</v>
      </c>
      <c r="G44" s="100" t="s">
        <v>369</v>
      </c>
    </row>
    <row r="45" spans="1:8" ht="17.100000000000001" customHeight="1">
      <c r="A45" s="6"/>
      <c r="B45" s="30" t="s">
        <v>179</v>
      </c>
      <c r="C45" s="31" t="s">
        <v>27</v>
      </c>
      <c r="D45" s="319" t="s">
        <v>25</v>
      </c>
      <c r="E45" s="366">
        <v>0</v>
      </c>
      <c r="F45" s="367">
        <v>0</v>
      </c>
      <c r="G45" s="100" t="s">
        <v>369</v>
      </c>
    </row>
    <row r="46" spans="1:8" ht="17.100000000000001" customHeight="1">
      <c r="A46" s="6"/>
      <c r="B46" s="30" t="s">
        <v>180</v>
      </c>
      <c r="C46" s="31" t="s">
        <v>28</v>
      </c>
      <c r="D46" s="319" t="s">
        <v>25</v>
      </c>
      <c r="E46" s="366">
        <v>2.5000000000000001E-3</v>
      </c>
      <c r="F46" s="367">
        <v>0</v>
      </c>
      <c r="G46" s="100" t="s">
        <v>369</v>
      </c>
    </row>
    <row r="47" spans="1:8" ht="17.100000000000001" customHeight="1" thickBot="1">
      <c r="A47" s="6"/>
      <c r="B47" s="32" t="s">
        <v>181</v>
      </c>
      <c r="C47" s="33" t="s">
        <v>29</v>
      </c>
      <c r="D47" s="320" t="s">
        <v>25</v>
      </c>
      <c r="E47" s="368">
        <v>0.12</v>
      </c>
      <c r="F47" s="369">
        <v>2.7E-2</v>
      </c>
      <c r="G47" s="100" t="s">
        <v>369</v>
      </c>
    </row>
    <row r="48" spans="1:8" ht="17.100000000000001" customHeight="1">
      <c r="A48" s="6"/>
      <c r="B48" s="28" t="s">
        <v>30</v>
      </c>
      <c r="C48" s="29" t="s">
        <v>31</v>
      </c>
      <c r="D48" s="318" t="s">
        <v>25</v>
      </c>
      <c r="E48" s="22">
        <f>+E49+E50</f>
        <v>2.5000000000000001E-2</v>
      </c>
      <c r="F48" s="23">
        <f>+F49+F50</f>
        <v>0.04</v>
      </c>
      <c r="G48" s="100" t="s">
        <v>369</v>
      </c>
    </row>
    <row r="49" spans="1:8" ht="17.100000000000001" customHeight="1">
      <c r="A49" s="6"/>
      <c r="B49" s="30" t="s">
        <v>182</v>
      </c>
      <c r="C49" s="31" t="s">
        <v>32</v>
      </c>
      <c r="D49" s="319" t="s">
        <v>25</v>
      </c>
      <c r="E49" s="366">
        <v>2.5000000000000001E-2</v>
      </c>
      <c r="F49" s="367">
        <v>0.04</v>
      </c>
      <c r="G49" s="100" t="s">
        <v>369</v>
      </c>
    </row>
    <row r="50" spans="1:8" ht="17.100000000000001" customHeight="1" thickBot="1">
      <c r="A50" s="6"/>
      <c r="B50" s="32" t="s">
        <v>183</v>
      </c>
      <c r="C50" s="33" t="s">
        <v>33</v>
      </c>
      <c r="D50" s="320" t="s">
        <v>25</v>
      </c>
      <c r="E50" s="368">
        <v>0</v>
      </c>
      <c r="F50" s="369">
        <v>0</v>
      </c>
      <c r="G50" s="100" t="s">
        <v>369</v>
      </c>
    </row>
    <row r="51" spans="1:8" ht="17.100000000000001" customHeight="1">
      <c r="A51" s="6"/>
      <c r="B51" s="28" t="s">
        <v>34</v>
      </c>
      <c r="C51" s="29" t="s">
        <v>35</v>
      </c>
      <c r="D51" s="318" t="s">
        <v>25</v>
      </c>
      <c r="E51" s="22">
        <f>+E52+E53</f>
        <v>1.5E-3</v>
      </c>
      <c r="F51" s="23">
        <f>+F52+F53</f>
        <v>1E-3</v>
      </c>
      <c r="G51" s="100" t="s">
        <v>369</v>
      </c>
    </row>
    <row r="52" spans="1:8" ht="17.100000000000001" customHeight="1">
      <c r="A52" s="6"/>
      <c r="B52" s="30" t="s">
        <v>184</v>
      </c>
      <c r="C52" s="31" t="s">
        <v>36</v>
      </c>
      <c r="D52" s="319" t="s">
        <v>25</v>
      </c>
      <c r="E52" s="366">
        <v>1.5E-3</v>
      </c>
      <c r="F52" s="367">
        <v>1E-3</v>
      </c>
      <c r="G52" s="100" t="s">
        <v>369</v>
      </c>
    </row>
    <row r="53" spans="1:8" ht="17.100000000000001" customHeight="1" thickBot="1">
      <c r="A53" s="6"/>
      <c r="B53" s="32" t="s">
        <v>185</v>
      </c>
      <c r="C53" s="33" t="s">
        <v>37</v>
      </c>
      <c r="D53" s="320" t="s">
        <v>25</v>
      </c>
      <c r="E53" s="368">
        <v>0</v>
      </c>
      <c r="F53" s="369">
        <v>0</v>
      </c>
      <c r="G53" s="100" t="s">
        <v>369</v>
      </c>
    </row>
    <row r="54" spans="1:8" ht="17.100000000000001" customHeight="1">
      <c r="A54" s="6"/>
      <c r="B54" s="28" t="s">
        <v>38</v>
      </c>
      <c r="C54" s="29" t="s">
        <v>39</v>
      </c>
      <c r="D54" s="318" t="s">
        <v>25</v>
      </c>
      <c r="E54" s="712">
        <f>+E55+E56+E57+SUMIF(E58,"&gt;=0",E58)</f>
        <v>0.33</v>
      </c>
      <c r="F54" s="716">
        <f>+F55+F56+F57+SUMIF(F58,"&gt;=0",F58)</f>
        <v>6.4079999999999998E-2</v>
      </c>
      <c r="G54" s="100" t="s">
        <v>369</v>
      </c>
    </row>
    <row r="55" spans="1:8" ht="17.100000000000001" customHeight="1">
      <c r="A55" s="6"/>
      <c r="B55" s="30" t="s">
        <v>186</v>
      </c>
      <c r="C55" s="34" t="s">
        <v>149</v>
      </c>
      <c r="D55" s="319" t="s">
        <v>25</v>
      </c>
      <c r="E55" s="366">
        <v>0</v>
      </c>
      <c r="F55" s="367">
        <v>0</v>
      </c>
      <c r="G55" s="100" t="s">
        <v>369</v>
      </c>
    </row>
    <row r="56" spans="1:8" ht="17.100000000000001" customHeight="1">
      <c r="A56" s="6"/>
      <c r="B56" s="30" t="s">
        <v>187</v>
      </c>
      <c r="C56" s="34" t="s">
        <v>40</v>
      </c>
      <c r="D56" s="319" t="s">
        <v>25</v>
      </c>
      <c r="E56" s="366">
        <v>0.02</v>
      </c>
      <c r="F56" s="367">
        <v>1.6E-2</v>
      </c>
      <c r="G56" s="100" t="s">
        <v>369</v>
      </c>
    </row>
    <row r="57" spans="1:8" ht="17.100000000000001" customHeight="1">
      <c r="A57" s="6"/>
      <c r="B57" s="30" t="s">
        <v>188</v>
      </c>
      <c r="C57" s="31" t="s">
        <v>41</v>
      </c>
      <c r="D57" s="319" t="s">
        <v>25</v>
      </c>
      <c r="E57" s="366">
        <v>0.31</v>
      </c>
      <c r="F57" s="367">
        <v>4.8079999999999998E-2</v>
      </c>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0.25</v>
      </c>
      <c r="F59" s="23">
        <f>+F60+F61+F62</f>
        <v>3.7999999999999999E-2</v>
      </c>
      <c r="G59" s="100" t="s">
        <v>369</v>
      </c>
    </row>
    <row r="60" spans="1:8" ht="17.100000000000001" customHeight="1">
      <c r="A60" s="6"/>
      <c r="B60" s="30" t="s">
        <v>190</v>
      </c>
      <c r="C60" s="31" t="s">
        <v>44</v>
      </c>
      <c r="D60" s="319" t="s">
        <v>25</v>
      </c>
      <c r="E60" s="366">
        <v>0</v>
      </c>
      <c r="F60" s="367">
        <v>0</v>
      </c>
      <c r="G60" s="100" t="s">
        <v>369</v>
      </c>
    </row>
    <row r="61" spans="1:8" ht="17.100000000000001" customHeight="1">
      <c r="A61" s="6"/>
      <c r="B61" s="30" t="s">
        <v>191</v>
      </c>
      <c r="C61" s="31" t="s">
        <v>45</v>
      </c>
      <c r="D61" s="319" t="s">
        <v>25</v>
      </c>
      <c r="E61" s="366">
        <v>0.25</v>
      </c>
      <c r="F61" s="367">
        <v>3.7999999999999999E-2</v>
      </c>
      <c r="G61" s="100" t="s">
        <v>369</v>
      </c>
    </row>
    <row r="62" spans="1:8" ht="17.100000000000001" customHeight="1" thickBot="1">
      <c r="A62" s="6"/>
      <c r="B62" s="32" t="s">
        <v>192</v>
      </c>
      <c r="C62" s="33" t="s">
        <v>46</v>
      </c>
      <c r="D62" s="320" t="s">
        <v>25</v>
      </c>
      <c r="E62" s="368">
        <v>0</v>
      </c>
      <c r="F62" s="369">
        <v>0</v>
      </c>
      <c r="G62" s="100" t="s">
        <v>369</v>
      </c>
    </row>
    <row r="63" spans="1:8" ht="17.100000000000001" customHeight="1">
      <c r="A63" s="6"/>
      <c r="B63" s="35" t="s">
        <v>47</v>
      </c>
      <c r="C63" s="9" t="s">
        <v>48</v>
      </c>
      <c r="D63" s="321" t="s">
        <v>25</v>
      </c>
      <c r="E63" s="370">
        <v>0</v>
      </c>
      <c r="F63" s="371">
        <v>0</v>
      </c>
      <c r="G63" s="100" t="s">
        <v>369</v>
      </c>
    </row>
    <row r="64" spans="1:8" ht="17.100000000000001" customHeight="1">
      <c r="A64" s="6"/>
      <c r="B64" s="35" t="s">
        <v>49</v>
      </c>
      <c r="C64" s="9" t="s">
        <v>50</v>
      </c>
      <c r="D64" s="321" t="s">
        <v>25</v>
      </c>
      <c r="E64" s="372">
        <v>0</v>
      </c>
      <c r="F64" s="373">
        <v>0</v>
      </c>
      <c r="G64" s="100" t="s">
        <v>369</v>
      </c>
      <c r="H64" s="114"/>
    </row>
    <row r="65" spans="1:8" ht="17.100000000000001" customHeight="1" thickBot="1">
      <c r="A65" s="6"/>
      <c r="B65" s="116" t="s">
        <v>51</v>
      </c>
      <c r="C65" s="36" t="s">
        <v>52</v>
      </c>
      <c r="D65" s="322" t="s">
        <v>25</v>
      </c>
      <c r="E65" s="374">
        <v>0</v>
      </c>
      <c r="F65" s="375">
        <v>0</v>
      </c>
      <c r="G65" s="100" t="s">
        <v>369</v>
      </c>
    </row>
    <row r="66" spans="1:8" ht="17.100000000000001" customHeight="1">
      <c r="A66" s="6"/>
      <c r="B66" s="35" t="s">
        <v>53</v>
      </c>
      <c r="C66" s="37" t="s">
        <v>54</v>
      </c>
      <c r="D66" s="323" t="s">
        <v>25</v>
      </c>
      <c r="E66" s="370">
        <v>0</v>
      </c>
      <c r="F66" s="371">
        <v>0</v>
      </c>
      <c r="G66" s="100" t="s">
        <v>369</v>
      </c>
    </row>
    <row r="67" spans="1:8" ht="17.100000000000001" customHeight="1" thickBot="1">
      <c r="A67" s="6"/>
      <c r="B67" s="32" t="s">
        <v>195</v>
      </c>
      <c r="C67" s="33" t="s">
        <v>55</v>
      </c>
      <c r="D67" s="320" t="s">
        <v>25</v>
      </c>
      <c r="E67" s="368">
        <v>0</v>
      </c>
      <c r="F67" s="369">
        <v>0</v>
      </c>
      <c r="G67" s="100" t="s">
        <v>369</v>
      </c>
    </row>
    <row r="68" spans="1:8" ht="17.100000000000001" customHeight="1" thickBot="1">
      <c r="A68" s="6"/>
      <c r="B68" s="115" t="s">
        <v>56</v>
      </c>
      <c r="C68" s="40" t="s">
        <v>356</v>
      </c>
      <c r="D68" s="324" t="s">
        <v>25</v>
      </c>
      <c r="E68" s="715">
        <f>+E43+E48+E51+E54+E63+E64+E65+E66+E59</f>
        <v>0.80400000000000005</v>
      </c>
      <c r="F68" s="713">
        <f>+F43+F48+F51+F54+F63+F64+F65+F66+F59</f>
        <v>0.17008000000000001</v>
      </c>
      <c r="G68" s="100" t="s">
        <v>369</v>
      </c>
    </row>
    <row r="69" spans="1:8" ht="17.25" thickBot="1">
      <c r="A69" s="6"/>
      <c r="B69" s="117"/>
      <c r="C69" s="11"/>
      <c r="D69" s="12"/>
      <c r="E69" s="11"/>
      <c r="F69" s="11"/>
      <c r="G69" s="97"/>
    </row>
    <row r="70" spans="1:8" ht="16.5">
      <c r="A70" s="6"/>
      <c r="B70" s="41" t="s">
        <v>57</v>
      </c>
      <c r="C70" s="42" t="s">
        <v>58</v>
      </c>
      <c r="D70" s="43" t="s">
        <v>59</v>
      </c>
      <c r="E70" s="551">
        <v>0.1</v>
      </c>
      <c r="F70" s="552"/>
      <c r="G70" s="100" t="s">
        <v>369</v>
      </c>
    </row>
    <row r="71" spans="1:8" ht="16.5">
      <c r="A71" s="6"/>
      <c r="B71" s="44" t="s">
        <v>60</v>
      </c>
      <c r="C71" s="45" t="s">
        <v>61</v>
      </c>
      <c r="D71" s="46" t="s">
        <v>207</v>
      </c>
      <c r="E71" s="366">
        <v>2.5000000000000001E-2</v>
      </c>
      <c r="F71" s="364" t="s">
        <v>198</v>
      </c>
      <c r="G71" s="100" t="s">
        <v>369</v>
      </c>
      <c r="H71" s="413"/>
    </row>
    <row r="72" spans="1:8" ht="16.5">
      <c r="A72" s="6"/>
      <c r="B72" s="44" t="s">
        <v>62</v>
      </c>
      <c r="C72" s="47" t="s">
        <v>63</v>
      </c>
      <c r="D72" s="46" t="s">
        <v>207</v>
      </c>
      <c r="E72" s="366">
        <v>1.7999999999999999E-2</v>
      </c>
      <c r="F72" s="364" t="s">
        <v>198</v>
      </c>
      <c r="G72" s="100" t="s">
        <v>369</v>
      </c>
    </row>
    <row r="73" spans="1:8" ht="16.5">
      <c r="A73" s="6"/>
      <c r="B73" s="44" t="s">
        <v>64</v>
      </c>
      <c r="C73" s="45" t="s">
        <v>65</v>
      </c>
      <c r="D73" s="46" t="s">
        <v>207</v>
      </c>
      <c r="E73" s="365" t="s">
        <v>198</v>
      </c>
      <c r="F73" s="367">
        <v>1.6E-2</v>
      </c>
      <c r="G73" s="100" t="s">
        <v>369</v>
      </c>
      <c r="H73" s="107"/>
    </row>
    <row r="74" spans="1:8" ht="16.5">
      <c r="A74" s="6"/>
      <c r="B74" s="44" t="s">
        <v>66</v>
      </c>
      <c r="C74" s="47" t="s">
        <v>67</v>
      </c>
      <c r="D74" s="46" t="s">
        <v>207</v>
      </c>
      <c r="E74" s="365" t="s">
        <v>198</v>
      </c>
      <c r="F74" s="367">
        <v>1.6E-2</v>
      </c>
      <c r="G74" s="100" t="s">
        <v>369</v>
      </c>
    </row>
    <row r="75" spans="1:8" ht="16.5">
      <c r="A75" s="6"/>
      <c r="B75" s="44" t="s">
        <v>68</v>
      </c>
      <c r="C75" s="45" t="s">
        <v>69</v>
      </c>
      <c r="D75" s="46" t="s">
        <v>207</v>
      </c>
      <c r="E75" s="365" t="s">
        <v>198</v>
      </c>
      <c r="F75" s="367">
        <v>0</v>
      </c>
      <c r="G75" s="100" t="s">
        <v>369</v>
      </c>
      <c r="H75" s="107"/>
    </row>
    <row r="76" spans="1:8" ht="16.5">
      <c r="A76" s="6"/>
      <c r="B76" s="44" t="s">
        <v>70</v>
      </c>
      <c r="C76" s="45" t="s">
        <v>71</v>
      </c>
      <c r="D76" s="46" t="s">
        <v>207</v>
      </c>
      <c r="E76" s="365" t="s">
        <v>198</v>
      </c>
      <c r="F76" s="367">
        <v>0</v>
      </c>
      <c r="G76" s="100" t="s">
        <v>369</v>
      </c>
    </row>
    <row r="77" spans="1:8" ht="16.5">
      <c r="A77" s="6"/>
      <c r="B77" s="44" t="s">
        <v>72</v>
      </c>
      <c r="C77" s="45" t="s">
        <v>73</v>
      </c>
      <c r="D77" s="46" t="s">
        <v>207</v>
      </c>
      <c r="E77" s="372">
        <v>0</v>
      </c>
      <c r="F77" s="367">
        <v>0</v>
      </c>
      <c r="G77" s="100" t="s">
        <v>369</v>
      </c>
      <c r="H77" s="109"/>
    </row>
    <row r="78" spans="1:8" ht="16.5">
      <c r="A78" s="6"/>
      <c r="B78" s="44" t="s">
        <v>74</v>
      </c>
      <c r="C78" s="45" t="s">
        <v>75</v>
      </c>
      <c r="D78" s="46" t="s">
        <v>207</v>
      </c>
      <c r="E78" s="372">
        <v>0</v>
      </c>
      <c r="F78" s="367">
        <v>0</v>
      </c>
      <c r="G78" s="100" t="s">
        <v>369</v>
      </c>
      <c r="H78" s="109"/>
    </row>
    <row r="79" spans="1:8" ht="17.25" thickBot="1">
      <c r="A79" s="6"/>
      <c r="B79" s="600" t="s">
        <v>540</v>
      </c>
      <c r="C79" s="66" t="s">
        <v>513</v>
      </c>
      <c r="D79" s="303" t="s">
        <v>575</v>
      </c>
      <c r="E79" s="374">
        <v>3.7499999999999999E-2</v>
      </c>
      <c r="F79" s="375" t="s">
        <v>162</v>
      </c>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32.159999999999997</v>
      </c>
      <c r="F93" s="23">
        <f>IFERROR(IF((F73+F75)&lt;&gt;0,F68/(F73+F75),IF(F77&lt;&gt;0,F68/F77,F68/F78)),"  ")</f>
        <v>10.63</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v>0</v>
      </c>
      <c r="F95" s="367">
        <v>0</v>
      </c>
      <c r="G95" s="100" t="s">
        <v>369</v>
      </c>
      <c r="H95" s="114"/>
    </row>
    <row r="96" spans="1:8" ht="28.5">
      <c r="A96" s="6"/>
      <c r="B96" s="50" t="s">
        <v>194</v>
      </c>
      <c r="C96" s="45" t="s">
        <v>157</v>
      </c>
      <c r="D96" s="46" t="s">
        <v>25</v>
      </c>
      <c r="E96" s="366">
        <v>0</v>
      </c>
      <c r="F96" s="367">
        <v>0</v>
      </c>
      <c r="G96" s="100" t="s">
        <v>369</v>
      </c>
    </row>
    <row r="97" spans="1:11" ht="16.5">
      <c r="A97" s="6"/>
      <c r="B97" s="44" t="s">
        <v>90</v>
      </c>
      <c r="C97" s="62" t="s">
        <v>158</v>
      </c>
      <c r="D97" s="46" t="s">
        <v>25</v>
      </c>
      <c r="E97" s="296">
        <f>IFERROR(+E68+E94,0)</f>
        <v>0.80400000000000005</v>
      </c>
      <c r="F97" s="67">
        <f>IFERROR(+F68+F94,0)</f>
        <v>0.17008000000000001</v>
      </c>
      <c r="G97" s="100" t="s">
        <v>369</v>
      </c>
      <c r="H97" s="331"/>
    </row>
    <row r="98" spans="1:11" ht="16.5">
      <c r="A98" s="6"/>
      <c r="B98" s="44" t="s">
        <v>92</v>
      </c>
      <c r="C98" s="45" t="s">
        <v>159</v>
      </c>
      <c r="D98" s="46" t="s">
        <v>25</v>
      </c>
      <c r="E98" s="366">
        <v>4.5999999999999999E-2</v>
      </c>
      <c r="F98" s="367">
        <v>0.15</v>
      </c>
      <c r="G98" s="100" t="s">
        <v>369</v>
      </c>
    </row>
    <row r="99" spans="1:11" ht="27" customHeight="1">
      <c r="A99" s="6"/>
      <c r="B99" s="44" t="s">
        <v>93</v>
      </c>
      <c r="C99" s="51" t="s">
        <v>390</v>
      </c>
      <c r="D99" s="46" t="s">
        <v>94</v>
      </c>
      <c r="E99" s="297">
        <f>IFERROR(+(E98/E97)*100," ")</f>
        <v>5.7213930348258701</v>
      </c>
      <c r="F99" s="54">
        <f>IFERROR(+(F98/F97)*100," ")</f>
        <v>88.193791157102524</v>
      </c>
      <c r="G99" s="100" t="s">
        <v>369</v>
      </c>
    </row>
    <row r="100" spans="1:11" ht="16.5">
      <c r="A100" s="6"/>
      <c r="B100" s="44" t="s">
        <v>95</v>
      </c>
      <c r="C100" s="62" t="s">
        <v>96</v>
      </c>
      <c r="D100" s="46" t="s">
        <v>25</v>
      </c>
      <c r="E100" s="507">
        <f>+IF(E35-E55-E56&gt;=0,E35-E55-E56,"0,000000")</f>
        <v>4.5999999999999999E-2</v>
      </c>
      <c r="F100" s="334">
        <f>+IF(F35-F55-F56&gt;=0,F35-F55-F56,"0,000000")</f>
        <v>0.15000000000000002</v>
      </c>
      <c r="G100" s="100" t="s">
        <v>369</v>
      </c>
      <c r="H100" s="114"/>
      <c r="K100" s="347"/>
    </row>
    <row r="101" spans="1:11" ht="16.5">
      <c r="A101" s="6"/>
      <c r="B101" s="44" t="s">
        <v>97</v>
      </c>
      <c r="C101" s="45" t="s">
        <v>98</v>
      </c>
      <c r="D101" s="46" t="s">
        <v>25</v>
      </c>
      <c r="E101" s="508">
        <f>IFERROR(+E98-E100," ")</f>
        <v>0</v>
      </c>
      <c r="F101" s="67">
        <f>IFERROR(+F98-F100," ")</f>
        <v>-2.7755575615628914E-17</v>
      </c>
      <c r="G101" s="100" t="s">
        <v>369</v>
      </c>
    </row>
    <row r="102" spans="1:11" ht="16.5">
      <c r="A102" s="6"/>
      <c r="B102" s="44" t="s">
        <v>100</v>
      </c>
      <c r="C102" s="45" t="s">
        <v>160</v>
      </c>
      <c r="D102" s="46" t="s">
        <v>25</v>
      </c>
      <c r="E102" s="296">
        <f>IFERROR(+E97+E98," ")</f>
        <v>0.85000000000000009</v>
      </c>
      <c r="F102" s="67">
        <f>IFERROR(+F97+F98," ")</f>
        <v>0.32008000000000003</v>
      </c>
      <c r="G102" s="100" t="s">
        <v>369</v>
      </c>
    </row>
    <row r="103" spans="1:11" ht="16.5">
      <c r="A103" s="6"/>
      <c r="B103" s="52" t="s">
        <v>102</v>
      </c>
      <c r="C103" s="45" t="s">
        <v>161</v>
      </c>
      <c r="D103" s="46" t="s">
        <v>207</v>
      </c>
      <c r="E103" s="678">
        <f>+IF(E71&lt;&gt;0,E71,IF(E78&lt;&gt;0,E78,E77))</f>
        <v>2.5000000000000001E-2</v>
      </c>
      <c r="F103" s="679">
        <f>+IF((F73+F75)&lt;&gt;0,F73+F75,IF(F77&lt;&gt;0,F77,F78))</f>
        <v>1.6E-2</v>
      </c>
      <c r="G103" s="100" t="s">
        <v>369</v>
      </c>
      <c r="H103" s="640"/>
    </row>
    <row r="104" spans="1:11" ht="16.5">
      <c r="A104" s="6"/>
      <c r="B104" s="44" t="s">
        <v>104</v>
      </c>
      <c r="C104" s="45" t="s">
        <v>105</v>
      </c>
      <c r="D104" s="46" t="s">
        <v>208</v>
      </c>
      <c r="E104" s="297">
        <f>IFERROR(FLOOR(+E102/E103,0.01)," ")</f>
        <v>34</v>
      </c>
      <c r="F104" s="54">
        <f>IFERROR(FLOOR(+F102/F103,0.01)," ")</f>
        <v>20</v>
      </c>
      <c r="G104" s="100" t="s">
        <v>369</v>
      </c>
    </row>
    <row r="105" spans="1:11" ht="16.5">
      <c r="A105" s="6"/>
      <c r="B105" s="44" t="s">
        <v>107</v>
      </c>
      <c r="C105" s="45" t="s">
        <v>108</v>
      </c>
      <c r="D105" s="46" t="s">
        <v>208</v>
      </c>
      <c r="E105" s="386">
        <v>38.08</v>
      </c>
      <c r="F105" s="387">
        <v>22.4</v>
      </c>
      <c r="G105" s="100" t="s">
        <v>369</v>
      </c>
    </row>
    <row r="106" spans="1:11" ht="17.25" thickBot="1">
      <c r="A106" s="6"/>
      <c r="B106" s="39" t="s">
        <v>110</v>
      </c>
      <c r="C106" s="48" t="s">
        <v>111</v>
      </c>
      <c r="D106" s="49" t="s">
        <v>208</v>
      </c>
      <c r="E106" s="298">
        <f>IFERROR(FLOOR(+IF((E55+E56)&lt;E34,(E68-E55-E56-E58+E34+E120)/E103,(E68-E113+E120)/E103),0.01)," ")</f>
        <v>53.52</v>
      </c>
      <c r="F106" s="55">
        <f>IFERROR(FLOOR(+IF((F55+F56)&lt;F34,(F68-F55-F56-F58+F34+F120)/F103,(F68-F113+F120)/F103),0.01)," ")</f>
        <v>37.75</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641</v>
      </c>
      <c r="F111" s="602" t="s">
        <v>641</v>
      </c>
      <c r="G111" s="109"/>
    </row>
    <row r="112" spans="1:11" ht="17.25" thickBot="1">
      <c r="A112" s="6"/>
      <c r="B112" s="88">
        <v>1</v>
      </c>
      <c r="C112" s="86">
        <v>2</v>
      </c>
      <c r="D112" s="86" t="s">
        <v>22</v>
      </c>
      <c r="E112" s="86">
        <v>3</v>
      </c>
      <c r="F112" s="87">
        <v>4</v>
      </c>
      <c r="G112" s="109"/>
    </row>
    <row r="113" spans="1:8" ht="27.95" customHeight="1">
      <c r="A113" s="6"/>
      <c r="B113" s="56" t="s">
        <v>189</v>
      </c>
      <c r="C113" s="42" t="s">
        <v>375</v>
      </c>
      <c r="D113" s="43" t="s">
        <v>25</v>
      </c>
      <c r="E113" s="376"/>
      <c r="F113" s="377"/>
      <c r="G113" s="100" t="s">
        <v>369</v>
      </c>
    </row>
    <row r="114" spans="1:8" ht="28.5">
      <c r="A114" s="6"/>
      <c r="B114" s="38" t="s">
        <v>169</v>
      </c>
      <c r="C114" s="110" t="s">
        <v>376</v>
      </c>
      <c r="D114" s="295" t="s">
        <v>25</v>
      </c>
      <c r="E114" s="366"/>
      <c r="F114" s="367"/>
      <c r="G114" s="100" t="s">
        <v>369</v>
      </c>
    </row>
    <row r="115" spans="1:8" ht="42.75">
      <c r="A115" s="6"/>
      <c r="B115" s="50" t="s">
        <v>170</v>
      </c>
      <c r="C115" s="111" t="s">
        <v>377</v>
      </c>
      <c r="D115" s="46" t="s">
        <v>25</v>
      </c>
      <c r="E115" s="366"/>
      <c r="F115" s="367"/>
      <c r="G115" s="100" t="s">
        <v>369</v>
      </c>
    </row>
    <row r="116" spans="1:8" ht="42.75">
      <c r="A116" s="6"/>
      <c r="B116" s="50" t="s">
        <v>171</v>
      </c>
      <c r="C116" s="111" t="s">
        <v>391</v>
      </c>
      <c r="D116" s="46" t="s">
        <v>25</v>
      </c>
      <c r="E116" s="366"/>
      <c r="F116" s="367"/>
      <c r="G116" s="100" t="s">
        <v>369</v>
      </c>
    </row>
    <row r="117" spans="1:8" ht="28.5">
      <c r="A117" s="6"/>
      <c r="B117" s="50" t="s">
        <v>172</v>
      </c>
      <c r="C117" s="111" t="s">
        <v>379</v>
      </c>
      <c r="D117" s="46" t="s">
        <v>25</v>
      </c>
      <c r="E117" s="366"/>
      <c r="F117" s="367"/>
      <c r="G117" s="100" t="s">
        <v>369</v>
      </c>
    </row>
    <row r="118" spans="1:8" ht="27.95" customHeight="1">
      <c r="A118" s="6"/>
      <c r="B118" s="50" t="s">
        <v>173</v>
      </c>
      <c r="C118" s="111" t="s">
        <v>380</v>
      </c>
      <c r="D118" s="46" t="s">
        <v>25</v>
      </c>
      <c r="E118" s="296">
        <f>+E113-E114-E115-E116-E117</f>
        <v>0</v>
      </c>
      <c r="F118" s="67">
        <f>+F113-F114-F115-F116-F117</f>
        <v>0</v>
      </c>
      <c r="G118" s="100" t="s">
        <v>369</v>
      </c>
    </row>
    <row r="119" spans="1:8" ht="28.5">
      <c r="A119" s="6"/>
      <c r="B119" s="50" t="s">
        <v>174</v>
      </c>
      <c r="C119" s="111" t="s">
        <v>381</v>
      </c>
      <c r="D119" s="46" t="s">
        <v>25</v>
      </c>
      <c r="E119" s="366"/>
      <c r="F119" s="367"/>
      <c r="G119" s="100" t="s">
        <v>369</v>
      </c>
    </row>
    <row r="120" spans="1:8" ht="42.75">
      <c r="A120" s="6"/>
      <c r="B120" s="50" t="s">
        <v>175</v>
      </c>
      <c r="C120" s="51" t="s">
        <v>396</v>
      </c>
      <c r="D120" s="46" t="s">
        <v>25</v>
      </c>
      <c r="E120" s="296">
        <f>IFERROR(+IF((E114+E115)&lt;(E121),E116+E117+E121,E114+E115+E116+E117),"  ")</f>
        <v>0</v>
      </c>
      <c r="F120" s="67">
        <f>IFERROR(+IF((F114+F115)&lt;(F121),F116+F117+F121,F114+F115+F116+F117)," ")</f>
        <v>0</v>
      </c>
      <c r="G120" s="100" t="s">
        <v>369</v>
      </c>
    </row>
    <row r="121" spans="1:8" ht="28.5">
      <c r="A121" s="6"/>
      <c r="B121" s="50" t="s">
        <v>176</v>
      </c>
      <c r="C121" s="51" t="s">
        <v>382</v>
      </c>
      <c r="D121" s="46" t="s">
        <v>25</v>
      </c>
      <c r="E121" s="366"/>
      <c r="F121" s="367"/>
      <c r="G121" s="100" t="s">
        <v>369</v>
      </c>
    </row>
    <row r="122" spans="1:8" ht="29.25" thickBot="1">
      <c r="A122" s="6"/>
      <c r="B122" s="57" t="s">
        <v>177</v>
      </c>
      <c r="C122" s="113" t="s">
        <v>383</v>
      </c>
      <c r="D122" s="49" t="s">
        <v>25</v>
      </c>
      <c r="E122" s="368"/>
      <c r="F122" s="369"/>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f>IFERROR(+(F132/F102)*100,"  ")</f>
        <v>0</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5" customHeight="1">
      <c r="A136" s="6"/>
      <c r="B136" s="44" t="s">
        <v>138</v>
      </c>
      <c r="C136" s="45" t="s">
        <v>139</v>
      </c>
      <c r="D136" s="46" t="s">
        <v>25</v>
      </c>
      <c r="E136" s="296" t="str">
        <f>IFERROR(+E134-E135," ")</f>
        <v xml:space="preserve"> </v>
      </c>
      <c r="F136" s="67" t="str">
        <f>IFERROR(+F134-F135," ")</f>
        <v xml:space="preserve"> </v>
      </c>
      <c r="G136" s="100" t="s">
        <v>369</v>
      </c>
    </row>
    <row r="137" spans="1:8" ht="27.95"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642</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643</v>
      </c>
      <c r="F146" s="59" t="s">
        <v>643</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0</v>
      </c>
      <c r="F150" s="371">
        <v>0</v>
      </c>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0</v>
      </c>
      <c r="F152" s="67">
        <f>IF(ISBLANK(F150),"  ",F150*F151)</f>
        <v>0</v>
      </c>
      <c r="G152" s="100" t="s">
        <v>369</v>
      </c>
      <c r="H152" s="114"/>
      <c r="I152" s="435"/>
    </row>
    <row r="153" spans="1:10" ht="29.25">
      <c r="A153" s="591"/>
      <c r="B153" s="604" t="s">
        <v>517</v>
      </c>
      <c r="C153" s="63" t="s">
        <v>368</v>
      </c>
      <c r="D153" s="300" t="s">
        <v>25</v>
      </c>
      <c r="E153" s="372">
        <v>49.065719000000001</v>
      </c>
      <c r="F153" s="378">
        <v>52.006365000000002</v>
      </c>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0.45140461479999999</v>
      </c>
      <c r="F155" s="67">
        <f>IF(ISBLANK(F153)," ",F153*F154)</f>
        <v>0.47845855800000003</v>
      </c>
      <c r="G155" s="100" t="s">
        <v>369</v>
      </c>
      <c r="H155" s="114"/>
      <c r="I155" s="435"/>
    </row>
    <row r="156" spans="1:10" ht="42.75">
      <c r="A156" s="591"/>
      <c r="B156" s="604" t="s">
        <v>518</v>
      </c>
      <c r="C156" s="62" t="s">
        <v>661</v>
      </c>
      <c r="D156" s="300" t="s">
        <v>25</v>
      </c>
      <c r="E156" s="372">
        <v>0</v>
      </c>
      <c r="F156" s="373">
        <v>0</v>
      </c>
      <c r="G156" s="100" t="s">
        <v>369</v>
      </c>
      <c r="H156" s="107"/>
      <c r="I156" s="435"/>
    </row>
    <row r="157" spans="1:10" ht="42.75">
      <c r="A157" s="591"/>
      <c r="B157" s="604" t="s">
        <v>519</v>
      </c>
      <c r="C157" s="62" t="s">
        <v>210</v>
      </c>
      <c r="D157" s="300" t="s">
        <v>25</v>
      </c>
      <c r="E157" s="372">
        <v>0</v>
      </c>
      <c r="F157" s="373">
        <v>0</v>
      </c>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f>+IF(ISBLANK(E157),"  ",E157*E158)</f>
        <v>0</v>
      </c>
      <c r="F159" s="67">
        <f>+IF(ISBLANK(F157),"  ",F157*F158)</f>
        <v>0</v>
      </c>
      <c r="G159" s="100" t="s">
        <v>369</v>
      </c>
      <c r="I159" s="435"/>
    </row>
    <row r="160" spans="1:10" ht="17.25" thickBot="1">
      <c r="A160" s="591"/>
      <c r="B160" s="605" t="s">
        <v>520</v>
      </c>
      <c r="C160" s="66" t="s">
        <v>213</v>
      </c>
      <c r="D160" s="303" t="s">
        <v>25</v>
      </c>
      <c r="E160" s="509">
        <f>+SUMIF(E152,"&gt;=0",E152)+SUMIF(E155,"&gt;=0",E155)+SUMIF(E156,"&gt;=0",E156)+SUMIF(E159,"&gt;=0",E159)</f>
        <v>0.45140461479999999</v>
      </c>
      <c r="F160" s="85">
        <f>+SUMIF(F152,"&gt;=0",F152)+SUMIF(F155,"&gt;=0",F155)+SUMIF(F156,"&gt;=0",F156)+SUMIF(F159,"&gt;=0",F159)</f>
        <v>0.47845855800000003</v>
      </c>
      <c r="G160" s="100" t="s">
        <v>369</v>
      </c>
      <c r="H160" s="114"/>
      <c r="J160" s="436"/>
    </row>
    <row r="161" spans="1:8" ht="18" thickBot="1">
      <c r="A161" s="6"/>
      <c r="B161" s="804" t="s">
        <v>200</v>
      </c>
      <c r="C161" s="805"/>
      <c r="D161" s="805"/>
      <c r="E161" s="805"/>
      <c r="F161" s="806"/>
      <c r="G161" s="6"/>
    </row>
    <row r="162" spans="1:8" ht="30">
      <c r="A162" s="591"/>
      <c r="B162" s="606" t="s">
        <v>527</v>
      </c>
      <c r="C162" s="60" t="s">
        <v>644</v>
      </c>
      <c r="D162" s="43" t="s">
        <v>366</v>
      </c>
      <c r="E162" s="370"/>
      <c r="F162" s="371"/>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t="str">
        <f>+IF(E162&gt;0,E162*E163*E103,"x")</f>
        <v>x</v>
      </c>
      <c r="F164" s="85" t="str">
        <f>+IF(F162&gt;0,F162*F163*F103,"x")</f>
        <v>x</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0.45140461479999999</v>
      </c>
      <c r="F166" s="578">
        <f>IF(AND(F160&lt;&gt;0,F164&gt;0),MIN(F160,F164),F160)</f>
        <v>0.47845855800000003</v>
      </c>
      <c r="G166" s="100" t="s">
        <v>369</v>
      </c>
      <c r="H166" s="114"/>
    </row>
    <row r="167" spans="1:8" ht="17.25" thickBot="1">
      <c r="A167" s="591"/>
      <c r="B167" s="605" t="s">
        <v>92</v>
      </c>
      <c r="C167" s="64" t="s">
        <v>159</v>
      </c>
      <c r="D167" s="78" t="s">
        <v>25</v>
      </c>
      <c r="E167" s="304">
        <f>+E98</f>
        <v>4.5999999999999999E-2</v>
      </c>
      <c r="F167" s="85">
        <f>+F98</f>
        <v>0.15</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643</v>
      </c>
      <c r="F174" s="59" t="s">
        <v>643</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c r="F178" s="371"/>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t="str">
        <f>IF(ISBLANK(E178),"  ",E178*E179)</f>
        <v xml:space="preserve">  </v>
      </c>
      <c r="F180" s="334" t="str">
        <f>IF(ISBLANK(F178),"  ",F178*F179)</f>
        <v xml:space="preserve">  </v>
      </c>
      <c r="G180" s="100" t="s">
        <v>369</v>
      </c>
    </row>
    <row r="181" spans="1:8" ht="42.75">
      <c r="A181" s="591"/>
      <c r="B181" s="604" t="s">
        <v>534</v>
      </c>
      <c r="C181" s="293" t="s">
        <v>662</v>
      </c>
      <c r="D181" s="305" t="s">
        <v>25</v>
      </c>
      <c r="E181" s="372"/>
      <c r="F181" s="373"/>
      <c r="G181" s="100" t="s">
        <v>369</v>
      </c>
      <c r="H181" s="535"/>
    </row>
    <row r="182" spans="1:8" ht="29.25"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645</v>
      </c>
      <c r="D184" s="299" t="s">
        <v>468</v>
      </c>
      <c r="E184" s="546"/>
      <c r="F184" s="547"/>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25" thickBot="1">
      <c r="A189" s="591"/>
      <c r="B189" s="605" t="s">
        <v>173</v>
      </c>
      <c r="C189" s="66" t="s">
        <v>159</v>
      </c>
      <c r="D189" s="90" t="s">
        <v>25</v>
      </c>
      <c r="E189" s="509">
        <f>+E118</f>
        <v>0</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679</v>
      </c>
      <c r="E191" s="827"/>
      <c r="F191" s="828"/>
      <c r="G191" s="104"/>
      <c r="H191" s="330"/>
    </row>
    <row r="192" spans="1:8" s="4" customFormat="1" ht="15" customHeight="1">
      <c r="A192" s="7"/>
      <c r="B192" s="822" t="s">
        <v>122</v>
      </c>
      <c r="C192" s="822"/>
      <c r="D192" s="829">
        <v>602118993</v>
      </c>
      <c r="E192" s="830"/>
      <c r="F192" s="831"/>
      <c r="G192" s="105"/>
      <c r="H192" s="330"/>
    </row>
    <row r="193" spans="1:8" s="4" customFormat="1" ht="15" customHeight="1">
      <c r="A193" s="7"/>
      <c r="B193" s="822" t="s">
        <v>428</v>
      </c>
      <c r="C193" s="822"/>
      <c r="D193" s="832" t="s">
        <v>680</v>
      </c>
      <c r="E193" s="833"/>
      <c r="F193" s="834"/>
      <c r="G193" s="105"/>
      <c r="H193" s="330"/>
    </row>
    <row r="194" spans="1:8" s="4" customFormat="1" ht="15" customHeight="1" thickBot="1">
      <c r="A194" s="7"/>
      <c r="B194" s="822" t="s">
        <v>123</v>
      </c>
      <c r="C194" s="822"/>
      <c r="D194" s="823">
        <v>45575</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637</v>
      </c>
      <c r="C6" s="841"/>
      <c r="D6" s="841"/>
      <c r="E6" s="841"/>
      <c r="F6" s="842"/>
      <c r="G6" s="98"/>
      <c r="H6" s="511"/>
      <c r="I6" s="5"/>
      <c r="J6" s="5"/>
      <c r="K6" s="5"/>
      <c r="L6" s="5"/>
      <c r="M6" s="5"/>
      <c r="N6" s="5"/>
      <c r="O6" s="5"/>
      <c r="P6" s="5"/>
      <c r="Q6" s="5"/>
      <c r="R6" s="5"/>
      <c r="S6" s="5"/>
    </row>
    <row r="7" spans="1:19" ht="17.25" customHeight="1">
      <c r="A7" s="6"/>
      <c r="B7" s="843" t="s">
        <v>647</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638</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648</v>
      </c>
      <c r="C13" s="835"/>
      <c r="D13" s="835"/>
      <c r="E13" s="835"/>
      <c r="F13" s="836"/>
      <c r="G13" s="98"/>
      <c r="H13" s="511"/>
      <c r="I13" s="69"/>
      <c r="J13" s="69"/>
      <c r="K13" s="69"/>
      <c r="L13" s="69"/>
      <c r="M13" s="69"/>
      <c r="N13" s="69"/>
      <c r="O13" s="69"/>
      <c r="P13" s="69"/>
      <c r="Q13" s="69"/>
      <c r="R13" s="69"/>
      <c r="S13" s="69"/>
    </row>
    <row r="14" spans="1:19" ht="54.75" customHeight="1">
      <c r="A14" s="6"/>
      <c r="B14" s="749" t="s">
        <v>628</v>
      </c>
      <c r="C14" s="835"/>
      <c r="D14" s="835"/>
      <c r="E14" s="835"/>
      <c r="F14" s="836"/>
      <c r="G14" s="98"/>
      <c r="H14" s="511"/>
      <c r="I14" s="69"/>
      <c r="J14" s="69"/>
      <c r="K14" s="69"/>
      <c r="L14" s="69"/>
      <c r="M14" s="69"/>
      <c r="N14" s="69"/>
      <c r="O14" s="69"/>
      <c r="P14" s="69"/>
      <c r="Q14" s="69"/>
      <c r="R14" s="69"/>
      <c r="S14" s="69"/>
    </row>
    <row r="15" spans="1:19" ht="49.5" customHeight="1" thickBot="1">
      <c r="A15" s="6"/>
      <c r="B15" s="837" t="s">
        <v>629</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640</v>
      </c>
      <c r="C21" s="766"/>
      <c r="D21" s="766"/>
      <c r="E21" s="766"/>
      <c r="F21" s="767"/>
      <c r="G21" s="97"/>
      <c r="H21" s="108"/>
    </row>
    <row r="22" spans="1:8" ht="15.95"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656</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643</v>
      </c>
      <c r="F44" s="59" t="s">
        <v>643</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649</v>
      </c>
      <c r="F115" s="602" t="s">
        <v>649</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7.9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5" customHeight="1">
      <c r="A140" s="6"/>
      <c r="B140" s="44" t="s">
        <v>138</v>
      </c>
      <c r="C140" s="45" t="s">
        <v>139</v>
      </c>
      <c r="D140" s="46" t="s">
        <v>25</v>
      </c>
      <c r="E140" s="296" t="str">
        <f>IFERROR(+E138-E139," ")</f>
        <v xml:space="preserve"> </v>
      </c>
      <c r="F140" s="67" t="str">
        <f>IFERROR(+F138-F139," ")</f>
        <v xml:space="preserve"> </v>
      </c>
      <c r="G140" s="100" t="s">
        <v>369</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642</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643</v>
      </c>
      <c r="F150" s="59" t="s">
        <v>643</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663</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644</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643</v>
      </c>
      <c r="F178" s="59" t="s">
        <v>643</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662</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645</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658</v>
      </c>
      <c r="C5" s="750"/>
      <c r="D5" s="750"/>
      <c r="E5" s="750"/>
      <c r="F5" s="751"/>
      <c r="G5" s="246"/>
      <c r="H5" s="161"/>
    </row>
    <row r="6" spans="1:256" ht="37.5" customHeight="1">
      <c r="A6" s="119"/>
      <c r="B6" s="749" t="s">
        <v>650</v>
      </c>
      <c r="C6" s="750"/>
      <c r="D6" s="750"/>
      <c r="E6" s="750"/>
      <c r="F6" s="751"/>
      <c r="G6" s="124"/>
      <c r="H6" s="514"/>
      <c r="I6" s="5"/>
      <c r="J6" s="5"/>
      <c r="K6" s="5"/>
      <c r="L6" s="5"/>
      <c r="M6" s="5"/>
      <c r="N6" s="5"/>
      <c r="O6" s="5"/>
      <c r="P6" s="5"/>
      <c r="Q6" s="5"/>
      <c r="R6" s="5"/>
      <c r="S6" s="5"/>
    </row>
    <row r="7" spans="1:256" ht="42" customHeight="1">
      <c r="A7" s="119"/>
      <c r="B7" s="734" t="s">
        <v>630</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651</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656</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652</v>
      </c>
      <c r="F113" s="613" t="s">
        <v>653</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7.9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654</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655</v>
      </c>
      <c r="F162" s="222" t="s">
        <v>655</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659</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644</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655</v>
      </c>
      <c r="F189" s="222" t="s">
        <v>655</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660</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645</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election activeCell="H23" sqref="H23"/>
    </sheetView>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632</v>
      </c>
      <c r="C5" s="750"/>
      <c r="D5" s="750"/>
      <c r="E5" s="750"/>
      <c r="F5" s="751"/>
      <c r="G5" s="109"/>
      <c r="H5" s="534"/>
    </row>
    <row r="6" spans="1:18" ht="45" customHeight="1" thickBot="1">
      <c r="A6" s="6"/>
      <c r="B6" s="837" t="s">
        <v>635</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657</v>
      </c>
      <c r="C14" s="766"/>
      <c r="D14" s="766"/>
      <c r="E14" s="766"/>
      <c r="F14" s="767"/>
      <c r="G14" s="97"/>
    </row>
    <row r="15" spans="1:18" ht="16.350000000000001" customHeight="1" thickBot="1">
      <c r="A15" s="6"/>
      <c r="B15" s="553"/>
      <c r="C15" s="555" t="s">
        <v>488</v>
      </c>
      <c r="D15" s="755" t="str">
        <f>+'Plánová kalkulace'!D19:E19</f>
        <v>RADENÍN</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665</v>
      </c>
      <c r="E19" s="961"/>
      <c r="F19" s="962"/>
      <c r="G19" s="666"/>
    </row>
    <row r="20" spans="1:7" ht="18" customHeight="1">
      <c r="A20" s="6"/>
      <c r="B20" s="769"/>
      <c r="C20" s="9" t="s">
        <v>453</v>
      </c>
      <c r="D20" s="946">
        <v>252735</v>
      </c>
      <c r="E20" s="947"/>
      <c r="F20" s="948"/>
      <c r="G20" s="665"/>
    </row>
    <row r="21" spans="1:7" ht="18" customHeight="1">
      <c r="A21" s="6"/>
      <c r="B21" s="769" t="s">
        <v>4</v>
      </c>
      <c r="C21" s="9" t="s">
        <v>454</v>
      </c>
      <c r="D21" s="946" t="s">
        <v>665</v>
      </c>
      <c r="E21" s="947"/>
      <c r="F21" s="948"/>
      <c r="G21" s="665"/>
    </row>
    <row r="22" spans="1:7" ht="18" customHeight="1">
      <c r="A22" s="6"/>
      <c r="B22" s="769"/>
      <c r="C22" s="9" t="s">
        <v>455</v>
      </c>
      <c r="D22" s="946">
        <v>252735</v>
      </c>
      <c r="E22" s="947"/>
      <c r="F22" s="948"/>
      <c r="G22" s="665"/>
    </row>
    <row r="23" spans="1:7" ht="18" customHeight="1">
      <c r="A23" s="6"/>
      <c r="B23" s="769" t="s">
        <v>5</v>
      </c>
      <c r="C23" s="9" t="s">
        <v>456</v>
      </c>
      <c r="D23" s="950" t="s">
        <v>665</v>
      </c>
      <c r="E23" s="951"/>
      <c r="F23" s="952"/>
      <c r="G23" s="665"/>
    </row>
    <row r="24" spans="1:7" ht="18" customHeight="1" thickBot="1">
      <c r="A24" s="6"/>
      <c r="B24" s="769"/>
      <c r="C24" s="9" t="s">
        <v>457</v>
      </c>
      <c r="D24" s="953">
        <v>252735</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625</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7.9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7.9</v>
      </c>
      <c r="F30" s="707">
        <f>(+IF(AND(OR(ISNUMBER('Plánová kalkulace'!F44),ISNUMBER('Plánová kalkulace'!F45),ISNUMBER('Plánová kalkulace'!F46),ISNUMBER('Plánová kalkulace'!F47)),'Plánová kalkulace'!F103&lt;&gt;0),'Plánová kalkulace'!F43/'Plánová kalkulace'!F103,"x"))</f>
        <v>1.6875</v>
      </c>
      <c r="G30" s="107"/>
    </row>
    <row r="31" spans="1:7" ht="27.95" customHeight="1">
      <c r="A31" s="6"/>
      <c r="B31" s="44" t="s">
        <v>30</v>
      </c>
      <c r="C31" s="45" t="s">
        <v>31</v>
      </c>
      <c r="D31" s="300" t="s">
        <v>468</v>
      </c>
      <c r="E31" s="705">
        <f>+IF(AND(OR(ISNUMBER('Plánová kalkulace'!E49),ISNUMBER('Plánová kalkulace'!E50)),'Plánová kalkulace'!E103&lt;&gt;0),'Plánová kalkulace'!E48/'Plánová kalkulace'!E103,"x")</f>
        <v>1</v>
      </c>
      <c r="F31" s="708">
        <f>+IF(AND(OR(ISNUMBER('Plánová kalkulace'!F49),ISNUMBER('Plánová kalkulace'!F50)),'Plánová kalkulace'!F103&lt;&gt;0),'Plánová kalkulace'!F48/'Plánová kalkulace'!F103,"x")</f>
        <v>2.5</v>
      </c>
      <c r="G31" s="107"/>
    </row>
    <row r="32" spans="1:7" ht="27.95" customHeight="1">
      <c r="A32" s="6"/>
      <c r="B32" s="44" t="s">
        <v>34</v>
      </c>
      <c r="C32" s="45" t="s">
        <v>148</v>
      </c>
      <c r="D32" s="300" t="s">
        <v>468</v>
      </c>
      <c r="E32" s="705">
        <f>+IF(AND(OR(ISNUMBER('Plánová kalkulace'!E52),ISNUMBER('Plánová kalkulace'!E53)),'Plánová kalkulace'!E103&lt;&gt;0),'Plánová kalkulace'!E51/'Plánová kalkulace'!E103,"x")</f>
        <v>0.06</v>
      </c>
      <c r="F32" s="708">
        <f>+IF(AND(OR(ISNUMBER('Plánová kalkulace'!F52),ISNUMBER('Plánová kalkulace'!F53)),'Plánová kalkulace'!F103&lt;&gt;0),'Plánová kalkulace'!F51/'Plánová kalkulace'!F103,"x")</f>
        <v>6.25E-2</v>
      </c>
      <c r="G32" s="107"/>
    </row>
    <row r="33" spans="1:8" ht="27.9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13.2</v>
      </c>
      <c r="F33" s="708">
        <f>+IF(AND(OR(ISNUMBER('Plánová kalkulace'!F55),ISNUMBER('Plánová kalkulace'!F56),ISNUMBER('Plánová kalkulace'!F57),'Plánová kalkulace'!F58&lt;&gt;0),'Plánová kalkulace'!F103&lt;&gt;0),'Plánová kalkulace'!F54/'Plánová kalkulace'!F103,"x")</f>
        <v>4.0049999999999999</v>
      </c>
      <c r="G33" s="107"/>
    </row>
    <row r="34" spans="1:8" ht="27.95" customHeight="1">
      <c r="A34" s="6"/>
      <c r="B34" s="44" t="s">
        <v>42</v>
      </c>
      <c r="C34" s="45" t="s">
        <v>43</v>
      </c>
      <c r="D34" s="300" t="s">
        <v>468</v>
      </c>
      <c r="E34" s="705">
        <f>+IF(AND(OR(ISNUMBER('Plánová kalkulace'!E60),ISNUMBER('Plánová kalkulace'!E61),ISNUMBER('Plánová kalkulace'!E62)),'Plánová kalkulace'!E103&lt;&gt;0),'Plánová kalkulace'!E59/'Plánová kalkulace'!E103,"x")</f>
        <v>10</v>
      </c>
      <c r="F34" s="708">
        <f>+IF(AND(OR(ISNUMBER('Plánová kalkulace'!F60),ISNUMBER('Plánová kalkulace'!F61),ISNUMBER('Plánová kalkulace'!F62)),'Plánová kalkulace'!F103&lt;&gt;0),'Plánová kalkulace'!F59/'Plánová kalkulace'!F103,"x")</f>
        <v>2.375</v>
      </c>
      <c r="G34" s="107"/>
    </row>
    <row r="35" spans="1:8" ht="27.95" customHeight="1">
      <c r="A35" s="6"/>
      <c r="B35" s="654" t="s">
        <v>47</v>
      </c>
      <c r="C35" s="62" t="s">
        <v>48</v>
      </c>
      <c r="D35" s="300" t="s">
        <v>468</v>
      </c>
      <c r="E35" s="702">
        <f>+IF(AND(ISNUMBER('Plánová kalkulace'!E63),'Plánová kalkulace'!E103&lt;&gt;0),'Plánová kalkulace'!E63/'Plánová kalkulace'!E103,"x")</f>
        <v>0</v>
      </c>
      <c r="F35" s="703">
        <f>+IF(AND(ISNUMBER('Plánová kalkulace'!F63),'Plánová kalkulace'!$F$103&lt;&gt;0),'Plánová kalkulace'!F63/'Plánová kalkulace'!$F$103,"x")</f>
        <v>0</v>
      </c>
      <c r="G35" s="107"/>
    </row>
    <row r="36" spans="1:8" ht="27.95" customHeight="1">
      <c r="A36" s="6"/>
      <c r="B36" s="654" t="s">
        <v>49</v>
      </c>
      <c r="C36" s="62" t="s">
        <v>50</v>
      </c>
      <c r="D36" s="300" t="s">
        <v>468</v>
      </c>
      <c r="E36" s="702">
        <f>+IF(AND(ISNUMBER('Plánová kalkulace'!E64),'Plánová kalkulace'!E103&lt;&gt;0),'Plánová kalkulace'!E64/'Plánová kalkulace'!E103,"x")</f>
        <v>0</v>
      </c>
      <c r="F36" s="703">
        <f>+IF(AND(ISNUMBER('Plánová kalkulace'!F64),'Plánová kalkulace'!$F$103&lt;&gt;0),'Plánová kalkulace'!F64/'Plánová kalkulace'!$F$103,"x")</f>
        <v>0</v>
      </c>
      <c r="G36" s="107"/>
      <c r="H36" s="114"/>
    </row>
    <row r="37" spans="1:8" ht="27.95" customHeight="1">
      <c r="A37" s="6"/>
      <c r="B37" s="654" t="s">
        <v>51</v>
      </c>
      <c r="C37" s="62" t="s">
        <v>52</v>
      </c>
      <c r="D37" s="300" t="s">
        <v>468</v>
      </c>
      <c r="E37" s="702">
        <f>+IF(AND(ISNUMBER('Plánová kalkulace'!E65),'Plánová kalkulace'!E103&lt;&gt;0),'Plánová kalkulace'!E65/'Plánová kalkulace'!E103,"x")</f>
        <v>0</v>
      </c>
      <c r="F37" s="703">
        <f>+IF(AND(ISNUMBER('Plánová kalkulace'!F65),'Plánová kalkulace'!$F$103&lt;&gt;0),'Plánová kalkulace'!F65/'Plánová kalkulace'!$F$103,"x")</f>
        <v>0</v>
      </c>
      <c r="G37" s="107"/>
    </row>
    <row r="38" spans="1:8" ht="27.95" customHeight="1">
      <c r="A38" s="6"/>
      <c r="B38" s="654" t="s">
        <v>53</v>
      </c>
      <c r="C38" s="62" t="s">
        <v>54</v>
      </c>
      <c r="D38" s="300" t="s">
        <v>468</v>
      </c>
      <c r="E38" s="702">
        <f>+IF(AND(ISNUMBER('Plánová kalkulace'!E66),'Plánová kalkulace'!E103&lt;&gt;0),'Plánová kalkulace'!E66/'Plánová kalkulace'!E103,"x")</f>
        <v>0</v>
      </c>
      <c r="F38" s="703">
        <f>+IF(AND(ISNUMBER('Plánová kalkulace'!F66),'Plánová kalkulace'!$F$103&lt;&gt;0),'Plánová kalkulace'!F66/'Plánová kalkulace'!$F$103,"x")</f>
        <v>0</v>
      </c>
      <c r="G38" s="107"/>
    </row>
    <row r="39" spans="1:8" ht="27.95" customHeight="1">
      <c r="A39" s="6"/>
      <c r="B39" s="661" t="s">
        <v>83</v>
      </c>
      <c r="C39" s="656" t="s">
        <v>614</v>
      </c>
      <c r="D39" s="686" t="s">
        <v>631</v>
      </c>
      <c r="E39" s="706">
        <f>+IF(AND('Plánová kalkulace'!E68&lt;&gt;0,'Plánová kalkulace'!E103&lt;&gt;0),'Plánová kalkulace'!E93,"x")</f>
        <v>32.159999999999997</v>
      </c>
      <c r="F39" s="709">
        <f>+IF(AND('Plánová kalkulace'!F68&lt;&gt;0,'Plánová kalkulace'!F103&lt;&gt;0),'Plánová kalkulace'!F93,"x")</f>
        <v>10.63</v>
      </c>
      <c r="G39" s="107"/>
    </row>
    <row r="40" spans="1:8" ht="27.95" customHeight="1">
      <c r="A40" s="6"/>
      <c r="B40" s="654" t="s">
        <v>85</v>
      </c>
      <c r="C40" s="62" t="s">
        <v>86</v>
      </c>
      <c r="D40" s="300" t="s">
        <v>468</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7"/>
    </row>
    <row r="41" spans="1:8" ht="28.5">
      <c r="A41" s="6"/>
      <c r="B41" s="604" t="s">
        <v>193</v>
      </c>
      <c r="C41" s="62" t="s">
        <v>616</v>
      </c>
      <c r="D41" s="300" t="s">
        <v>468</v>
      </c>
      <c r="E41" s="702">
        <f>+IF(AND(ISNUMBER('Plánová kalkulace'!E95),'Plánová kalkulace'!E103&lt;&gt;0),'Plánová kalkulace'!E95/'Plánová kalkulace'!E103,"x")</f>
        <v>0</v>
      </c>
      <c r="F41" s="703">
        <f>+IF(AND(ISNUMBER('Plánová kalkulace'!F95),'Plánová kalkulace'!F103&lt;&gt;0),'Plánová kalkulace'!F95/'Plánová kalkulace'!F103,"x")</f>
        <v>0</v>
      </c>
      <c r="G41" s="107"/>
    </row>
    <row r="42" spans="1:8" ht="28.5">
      <c r="A42" s="6"/>
      <c r="B42" s="604" t="s">
        <v>194</v>
      </c>
      <c r="C42" s="62" t="s">
        <v>617</v>
      </c>
      <c r="D42" s="300" t="s">
        <v>468</v>
      </c>
      <c r="E42" s="702">
        <f>+IF(AND(ISNUMBER('Plánová kalkulace'!E96),'Plánová kalkulace'!E103&lt;&gt;0),'Plánová kalkulace'!E96/'Plánová kalkulace'!E103,"x")</f>
        <v>0</v>
      </c>
      <c r="F42" s="703">
        <f>+IF(AND(ISNUMBER('Plánová kalkulace'!F96),'Plánová kalkulace'!F103&lt;&gt;0),'Plánová kalkulace'!F96/'Plánová kalkulace'!F103,"x")</f>
        <v>0</v>
      </c>
      <c r="G42" s="107"/>
    </row>
    <row r="43" spans="1:8" ht="27.95" customHeight="1">
      <c r="A43" s="6"/>
      <c r="B43" s="661" t="s">
        <v>92</v>
      </c>
      <c r="C43" s="656" t="s">
        <v>159</v>
      </c>
      <c r="D43" s="686" t="s">
        <v>631</v>
      </c>
      <c r="E43" s="706">
        <f>+IF(AND(ISNUMBER('Plánová kalkulace'!E98),'Plánová kalkulace'!E103&lt;&gt;0),'Plánová kalkulace'!E98/'Plánová kalkulace'!E103,"x")</f>
        <v>1.8399999999999999</v>
      </c>
      <c r="F43" s="709">
        <f>+IF(AND(ISNUMBER('Plánová kalkulace'!F98),'Plánová kalkulace'!F103&lt;&gt;0),'Plánová kalkulace'!F98/'Plánová kalkulace'!F103,"x")</f>
        <v>9.375</v>
      </c>
      <c r="G43" s="107"/>
    </row>
    <row r="44" spans="1:8" ht="27.95" customHeight="1">
      <c r="A44" s="6"/>
      <c r="B44" s="654" t="s">
        <v>95</v>
      </c>
      <c r="C44" s="659" t="s">
        <v>618</v>
      </c>
      <c r="D44" s="300" t="s">
        <v>468</v>
      </c>
      <c r="E44" s="702">
        <f>+IF(AND(ISNUMBER('Plánová kalkulace'!E98),'Plánová kalkulace'!E103&lt;&gt;0),'Plánová kalkulace'!E100/'Plánová kalkulace'!E103,IF(ISBLANK('Plánová kalkulace'!E98),"x","x"))</f>
        <v>1.8399999999999999</v>
      </c>
      <c r="F44" s="703">
        <f>+IF(AND(ISNUMBER('Plánová kalkulace'!F98),'Plánová kalkulace'!F103&lt;&gt;0),'Plánová kalkulace'!F100/'Plánová kalkulace'!F103,IF(ISBLANK('Plánová kalkulace'!F98),"x","x"))</f>
        <v>9.3750000000000018</v>
      </c>
      <c r="G44" s="107"/>
    </row>
    <row r="45" spans="1:8" ht="27.95" customHeight="1">
      <c r="A45" s="6"/>
      <c r="B45" s="654" t="s">
        <v>97</v>
      </c>
      <c r="C45" s="659" t="s">
        <v>619</v>
      </c>
      <c r="D45" s="300" t="s">
        <v>468</v>
      </c>
      <c r="E45" s="702">
        <f>+IF(AND(ISNUMBER('Plánová kalkulace'!E98),'Plánová kalkulace'!E103&lt;&gt;0),'Plánová kalkulace'!E101/'Plánová kalkulace'!E103,IF(ISBLANK('Plánová kalkulace'!E98),"x","x"))</f>
        <v>0</v>
      </c>
      <c r="F45" s="703">
        <f>+IF(AND(ISNUMBER('Plánová kalkulace'!F98),'Plánová kalkulace'!F103&lt;&gt;0),'Plánová kalkulace'!F101/'Plánová kalkulace'!F103,IF(ISBLANK('Plánová kalkulace'!F98),"x","x"))</f>
        <v>-1.7347234759768071E-15</v>
      </c>
      <c r="G45" s="107"/>
    </row>
    <row r="46" spans="1:8" ht="27.95" customHeight="1">
      <c r="A46" s="6"/>
      <c r="B46" s="661" t="s">
        <v>104</v>
      </c>
      <c r="C46" s="656" t="s">
        <v>615</v>
      </c>
      <c r="D46" s="686" t="s">
        <v>631</v>
      </c>
      <c r="E46" s="706">
        <f>+IF(AND('Plánová kalkulace'!E68&lt;&gt;0,'Plánová kalkulace'!E103&lt;&gt;0),'Plánová kalkulace'!E104,"x")</f>
        <v>34</v>
      </c>
      <c r="F46" s="709">
        <f>+IF(AND('Plánová kalkulace'!F68&lt;&gt;0,'Plánová kalkulace'!F103&lt;&gt;0),'Plánová kalkulace'!F104,"x")</f>
        <v>20</v>
      </c>
      <c r="G46" s="107"/>
    </row>
    <row r="47" spans="1:8" ht="27.95" customHeight="1" thickBot="1">
      <c r="A47" s="6"/>
      <c r="B47" s="670" t="s">
        <v>107</v>
      </c>
      <c r="C47" s="671" t="s">
        <v>108</v>
      </c>
      <c r="D47" s="687" t="s">
        <v>631</v>
      </c>
      <c r="E47" s="700">
        <f>+IF(AND('Plánová kalkulace'!E104&lt;&gt;0,ISNUMBER('Plánová kalkulace'!E105)),'Plánová kalkulace'!E105,"x")</f>
        <v>38.08</v>
      </c>
      <c r="F47" s="701">
        <f>+IF(ISNUMBER('Plánová kalkulace'!F105),'Plánová kalkulace'!F105,"x")</f>
        <v>22.4</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625</v>
      </c>
      <c r="D53" s="793" t="s">
        <v>79</v>
      </c>
      <c r="E53" s="571" t="s">
        <v>9</v>
      </c>
      <c r="F53" s="572" t="s">
        <v>10</v>
      </c>
      <c r="G53" s="949"/>
    </row>
    <row r="54" spans="1:8" ht="17.25" thickBot="1">
      <c r="A54" s="6"/>
      <c r="B54" s="943"/>
      <c r="C54" s="944"/>
      <c r="D54" s="945"/>
      <c r="E54" s="652" t="s">
        <v>21</v>
      </c>
      <c r="F54" s="653" t="s">
        <v>21</v>
      </c>
      <c r="G54" s="949"/>
    </row>
    <row r="55" spans="1:8" ht="27.9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5" customHeight="1">
      <c r="A57" s="6"/>
      <c r="B57" s="663"/>
      <c r="C57" s="668" t="s">
        <v>621</v>
      </c>
      <c r="D57" s="689" t="s">
        <v>468</v>
      </c>
      <c r="E57" s="691"/>
      <c r="F57" s="692"/>
      <c r="G57" s="697"/>
      <c r="H57" s="114"/>
    </row>
    <row r="58" spans="1:8" ht="27.9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ing.Václav Fučík</v>
      </c>
      <c r="E61" s="937"/>
      <c r="F61" s="938"/>
      <c r="G61" s="535"/>
      <c r="H61" s="330"/>
    </row>
    <row r="62" spans="1:8" s="4" customFormat="1" ht="15" customHeight="1">
      <c r="A62" s="7"/>
      <c r="B62" s="822" t="s">
        <v>122</v>
      </c>
      <c r="C62" s="822"/>
      <c r="D62" s="939">
        <f>+IF('Plánová kalkulace'!D192:F192&lt;&gt;0,'Plánová kalkulace'!D192:F192,"  ")</f>
        <v>602118993</v>
      </c>
      <c r="E62" s="940"/>
      <c r="F62" s="941"/>
      <c r="G62" s="535"/>
      <c r="H62" s="330"/>
    </row>
    <row r="63" spans="1:8" s="4" customFormat="1" ht="15" customHeight="1">
      <c r="A63" s="7"/>
      <c r="B63" s="822" t="s">
        <v>428</v>
      </c>
      <c r="C63" s="822"/>
      <c r="D63" s="939" t="str">
        <f>+IF('Plánová kalkulace'!D193:F193&lt;&gt;0,'Plánová kalkulace'!D193:F193,"  ")</f>
        <v>fucik.vak@centrum.cz</v>
      </c>
      <c r="E63" s="940"/>
      <c r="F63" s="941"/>
      <c r="G63" s="535"/>
      <c r="H63" s="330"/>
    </row>
    <row r="64" spans="1:8" s="4" customFormat="1" ht="15" customHeight="1" thickBot="1">
      <c r="A64" s="7"/>
      <c r="B64" s="822" t="s">
        <v>123</v>
      </c>
      <c r="C64" s="822"/>
      <c r="D64" s="932">
        <f>+IF('Plánová kalkulace'!D194:F194&lt;&gt;0,'Plánová kalkulace'!D194:F194,"  ")</f>
        <v>45575</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Václav Fučík</dc:creator>
  <cp:keywords>MF;voda;kalkulace;2026</cp:keywords>
  <dc:description/>
  <cp:lastModifiedBy>Václav Fučík</cp:lastModifiedBy>
  <dcterms:created xsi:type="dcterms:W3CDTF">2021-06-07T16:44:23Z</dcterms:created>
  <dcterms:modified xsi:type="dcterms:W3CDTF">2025-11-17T15:03:19Z</dcterms:modified>
  <cp:category/>
  <cp:contentStatus/>
</cp:coreProperties>
</file>